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s\Desktop\"/>
    </mc:Choice>
  </mc:AlternateContent>
  <xr:revisionPtr revIDLastSave="0" documentId="13_ncr:1_{4ADDD89C-260A-4268-B21F-1284B93AF861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Mão de obra" sheetId="1" r:id="rId1"/>
    <sheet name="Equipamentos" sheetId="3" r:id="rId2"/>
    <sheet name="Combustível" sheetId="4" r:id="rId3"/>
    <sheet name="Despesas Operacionais" sheetId="8" r:id="rId4"/>
    <sheet name="Consolid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9" i="3"/>
  <c r="D8" i="3"/>
  <c r="D7" i="3"/>
  <c r="C17" i="8"/>
  <c r="B5" i="5" s="1"/>
  <c r="C5" i="5" s="1"/>
  <c r="E3" i="4"/>
  <c r="F3" i="4" s="1"/>
  <c r="E2" i="4"/>
  <c r="F2" i="4" s="1"/>
  <c r="D3" i="3"/>
  <c r="G3" i="3" s="1"/>
  <c r="D2" i="3"/>
  <c r="G2" i="3" s="1"/>
  <c r="E4" i="3" l="1"/>
  <c r="D13" i="3" l="1"/>
  <c r="B3" i="5" s="1"/>
  <c r="C3" i="5" s="1"/>
  <c r="F4" i="4"/>
  <c r="B4" i="5" s="1"/>
  <c r="C4" i="5" s="1"/>
  <c r="D107" i="1" l="1"/>
  <c r="D126" i="1" s="1"/>
  <c r="D99" i="1"/>
  <c r="C46" i="1"/>
  <c r="C33" i="1"/>
  <c r="C32" i="1"/>
  <c r="D25" i="1" l="1"/>
  <c r="D122" i="1" l="1"/>
  <c r="D65" i="1"/>
  <c r="D42" i="1"/>
  <c r="D38" i="1"/>
  <c r="D68" i="1"/>
  <c r="D64" i="1"/>
  <c r="D45" i="1"/>
  <c r="D41" i="1"/>
  <c r="D39" i="1"/>
  <c r="D73" i="1"/>
  <c r="C75" i="1" s="1"/>
  <c r="D67" i="1"/>
  <c r="D44" i="1"/>
  <c r="D40" i="1"/>
  <c r="D31" i="1"/>
  <c r="D43" i="1"/>
  <c r="D30" i="1"/>
  <c r="D53" i="1" l="1"/>
  <c r="D59" i="1" s="1"/>
  <c r="D46" i="1"/>
  <c r="D58" i="1" s="1"/>
  <c r="D75" i="1"/>
  <c r="D32" i="1"/>
  <c r="D33" i="1" l="1"/>
  <c r="D34" i="1" s="1"/>
  <c r="D57" i="1" s="1"/>
  <c r="D60" i="1" s="1"/>
  <c r="D69" i="1"/>
  <c r="D76" i="1" s="1"/>
  <c r="D66" i="1"/>
  <c r="D70" i="1" l="1"/>
  <c r="D89" i="1" s="1"/>
  <c r="D123" i="1"/>
  <c r="D74" i="1"/>
  <c r="D124" i="1" l="1"/>
  <c r="D78" i="1"/>
  <c r="D87" i="1" l="1"/>
  <c r="D86" i="1"/>
  <c r="D85" i="1"/>
  <c r="D83" i="1"/>
  <c r="D88" i="1"/>
  <c r="D84" i="1"/>
  <c r="D90" i="1" l="1"/>
  <c r="D98" i="1" s="1"/>
  <c r="D100" i="1" s="1"/>
  <c r="D125" i="1" s="1"/>
  <c r="D127" i="1" s="1"/>
  <c r="D111" i="1" s="1"/>
  <c r="D112" i="1" l="1"/>
  <c r="D113" i="1" s="1"/>
  <c r="D117" i="1" l="1"/>
  <c r="D128" i="1" s="1"/>
  <c r="D129" i="1" s="1"/>
  <c r="D114" i="1" s="1"/>
  <c r="D116" i="1" l="1"/>
  <c r="D115" i="1"/>
  <c r="D132" i="1"/>
  <c r="D134" i="1" l="1"/>
  <c r="C2" i="5" s="1"/>
  <c r="C6" i="5" s="1"/>
  <c r="B2" i="5"/>
</calcChain>
</file>

<file path=xl/sharedStrings.xml><?xml version="1.0" encoding="utf-8"?>
<sst xmlns="http://schemas.openxmlformats.org/spreadsheetml/2006/main" count="276" uniqueCount="187">
  <si>
    <t>ANEXO A - PLANILHA DE CUSTOS E FORMAÇÃO DE PREÇOS</t>
  </si>
  <si>
    <t xml:space="preserve">Planilha conforme Anexo VII-D da IN 05/2017 </t>
  </si>
  <si>
    <t>Nº Processo</t>
  </si>
  <si>
    <t>Discriminação dos Serviços (dados referentes à contratação)</t>
  </si>
  <si>
    <t>A</t>
  </si>
  <si>
    <t>Data da apresentação da proposta (dia/mês/ano)</t>
  </si>
  <si>
    <t>B</t>
  </si>
  <si>
    <t>Município/UF</t>
  </si>
  <si>
    <t>Balneário Camboriú (SC)</t>
  </si>
  <si>
    <t>C</t>
  </si>
  <si>
    <t>Ano Acordo, Convenção ou Sentença Normativa em Dissídio Coletivo</t>
  </si>
  <si>
    <t>D</t>
  </si>
  <si>
    <t>CCT</t>
  </si>
  <si>
    <t>SEAC/SC</t>
  </si>
  <si>
    <t>E</t>
  </si>
  <si>
    <t>Data de registro no M.T.E</t>
  </si>
  <si>
    <t>F</t>
  </si>
  <si>
    <t>Nº de meses de execução contratual</t>
  </si>
  <si>
    <t>12 meses</t>
  </si>
  <si>
    <t>Identificação do Serviço</t>
  </si>
  <si>
    <t>Tipo de serviço</t>
  </si>
  <si>
    <t>Jornada de Trabalho</t>
  </si>
  <si>
    <t>44h</t>
  </si>
  <si>
    <t>Dados complementares para composição dos custos referentes à mão de obra</t>
  </si>
  <si>
    <t>Salário Normativo da Categoria Profissional</t>
  </si>
  <si>
    <t>Categoria profissional (vinculada à execução contratual)</t>
  </si>
  <si>
    <t>Salário mínimo vigente</t>
  </si>
  <si>
    <t>Módulo 1 - Composição da Remuneração</t>
  </si>
  <si>
    <t>Composição da Remuneração</t>
  </si>
  <si>
    <t>Valor (R$)</t>
  </si>
  <si>
    <t xml:space="preserve">Salário-Base </t>
  </si>
  <si>
    <t>Total</t>
  </si>
  <si>
    <t xml:space="preserve"> </t>
  </si>
  <si>
    <t>MÓDULO 02: ENCARGOS E BENEFÍCIOS ANUAIS, MENSAIS E DIÁRIOS</t>
  </si>
  <si>
    <t>Submódulo 2.1 - 13º (décimo terceiro) Salário e Adicional de Férias</t>
  </si>
  <si>
    <t>2.1</t>
  </si>
  <si>
    <t>13º (décimo terceiro) Salário e Adicional de Férias</t>
  </si>
  <si>
    <t>13º (décimo terceiro) Salário</t>
  </si>
  <si>
    <t>Adicional de Férias</t>
  </si>
  <si>
    <t>Subtotal</t>
  </si>
  <si>
    <t>Incidência 2.2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</si>
  <si>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</si>
  <si>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</si>
  <si>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</si>
  <si>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</si>
  <si>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</si>
  <si>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</si>
  <si>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 (RAT 0 x FAP 1)</t>
  </si>
  <si>
    <t>SESC ou SESI</t>
  </si>
  <si>
    <t>SENAI - SENAC</t>
  </si>
  <si>
    <t>SEBRAE</t>
  </si>
  <si>
    <t>G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</si>
  <si>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</si>
  <si>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</si>
  <si>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</si>
  <si>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</si>
  <si>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</si>
  <si>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</si>
  <si>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Quadro-Resumo do Módulo 2 - Encargos e Benefícios anuais, mensais e diários</t>
  </si>
  <si>
    <t>Encargos e Benefícios Anuais, Mensais e Diários</t>
  </si>
  <si>
    <t>13º (décimo terceiro) Salário, Adicional de Férias</t>
  </si>
  <si>
    <t>MÓDULO 3 – PROVISÃO PARA RESCISÃO (95% Trabalhado / 5% indenizado)</t>
  </si>
  <si>
    <t>Provisão para Rescisão</t>
  </si>
  <si>
    <t>%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</si>
  <si>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</si>
  <si>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</si>
  <si>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</si>
  <si>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</si>
  <si>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</si>
  <si>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</si>
  <si>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 xml:space="preserve">Base de Cálculo do Custo do Substituto - BCCS = Módulos 1 + 2 + Férias - (V. Transporte e V. Alimentação) + 3 </t>
  </si>
  <si>
    <t>Módulo 1 - Remuneração</t>
  </si>
  <si>
    <t>Módulo 2 - Encargos e Benefícios Anuais, Mensais e Diários</t>
  </si>
  <si>
    <t xml:space="preserve">Acréscimo das Férias com incidência do 2.2 </t>
  </si>
  <si>
    <t>Módulo 3 - Provisão para Rescisão</t>
  </si>
  <si>
    <t>BCCS</t>
  </si>
  <si>
    <t>MÓDULO 4 – CUSTO DE REPOSIÇÃO DO PROFISSIONAL AUSENTE</t>
  </si>
  <si>
    <t>Submódulo 4.1 - Ausências Legais</t>
  </si>
  <si>
    <t>4.1</t>
  </si>
  <si>
    <t>Ausências Legais</t>
  </si>
  <si>
    <t>Férias</t>
  </si>
  <si>
    <t>Auxílio doença</t>
  </si>
  <si>
    <t>Licença-Paternidade</t>
  </si>
  <si>
    <t>Ausência por acidente de trabalho</t>
  </si>
  <si>
    <t>Faltas legais</t>
  </si>
  <si>
    <t>Afastamento Maternidade</t>
  </si>
  <si>
    <t>Outros</t>
  </si>
  <si>
    <t>Submódulo 4.2 - Intrajornada</t>
  </si>
  <si>
    <t>4.2</t>
  </si>
  <si>
    <t>Intrajornada</t>
  </si>
  <si>
    <t>Intervalo para repouso ou alimentação</t>
  </si>
  <si>
    <t>Quadro-Resumo do Módulo 4 - Custo de Reposição do Profissional Ausente</t>
  </si>
  <si>
    <t>Custo de Reposição do Profissional Ausente</t>
  </si>
  <si>
    <t>MÓDULO 5 – INSUMOS DIVERSOS</t>
  </si>
  <si>
    <t>Insumos Diversos</t>
  </si>
  <si>
    <t>Módulo 6 - Custos Indiretos, Tributos e Lucro</t>
  </si>
  <si>
    <t>Custos Indiretos, Tributos e Lucro</t>
  </si>
  <si>
    <t xml:space="preserve">Custos Indiretos </t>
  </si>
  <si>
    <t xml:space="preserve">Lucro </t>
  </si>
  <si>
    <t xml:space="preserve">Tributos - Simples Nacional </t>
  </si>
  <si>
    <t>C.1. PIS</t>
  </si>
  <si>
    <t>C.2. COFINS</t>
  </si>
  <si>
    <t>C.3. ISS</t>
  </si>
  <si>
    <t>2. QUADRO-RESUMO DO CUSTO POR EMPREGADO</t>
  </si>
  <si>
    <t>Mão de obra vinculada à execução contratual (valor por empregado)</t>
  </si>
  <si>
    <t>Módulo 4 - Custo de Reposição do Profissional Ausente</t>
  </si>
  <si>
    <t>Módulo 5 - Insumos Diversos</t>
  </si>
  <si>
    <t>Subtotal (A + B +C+ D+E)</t>
  </si>
  <si>
    <t>Módulo 6 – Custos Indiretos, Tributos e Lucro</t>
  </si>
  <si>
    <t>Valor Total por Empregado</t>
  </si>
  <si>
    <t>Quantidade</t>
  </si>
  <si>
    <t>Valor total mensal</t>
  </si>
  <si>
    <t>Quantidade de meses</t>
  </si>
  <si>
    <t>Valor total global</t>
  </si>
  <si>
    <t>SC002366/2023</t>
  </si>
  <si>
    <t>Motorista diurno</t>
  </si>
  <si>
    <t>Motorista Transporte Urbano</t>
  </si>
  <si>
    <t>Vale Alimentação (Cláusula 11ª da CCT)</t>
  </si>
  <si>
    <t>Seguro de Vida (Cláusula 13ª da CCT)</t>
  </si>
  <si>
    <t>Uniformes</t>
  </si>
  <si>
    <t>Descontos do Vale Alimentação</t>
  </si>
  <si>
    <t>QUANTIDADE</t>
  </si>
  <si>
    <t>VALOR UNITÁRIO</t>
  </si>
  <si>
    <t>VALOR ANUAL</t>
  </si>
  <si>
    <t>VALOR MENSAL</t>
  </si>
  <si>
    <t>CALÇA</t>
  </si>
  <si>
    <t>CAMISA</t>
  </si>
  <si>
    <t>UNIFORME</t>
  </si>
  <si>
    <t>ÔNIBUS PADRÃO</t>
  </si>
  <si>
    <t>MICRO-ÔNIBUS</t>
  </si>
  <si>
    <t>VALOR UNITÁRIO PARA AQUISIÇÃO</t>
  </si>
  <si>
    <t>VALOR TOTAL PARA AQUISIÇÃO</t>
  </si>
  <si>
    <t>VIDA ÚTIL</t>
  </si>
  <si>
    <t xml:space="preserve">DEPRECIAÇÃO </t>
  </si>
  <si>
    <t>VALOR TOTAL</t>
  </si>
  <si>
    <t>10 ANOS</t>
  </si>
  <si>
    <t>TOTAL</t>
  </si>
  <si>
    <t>DIESEL</t>
  </si>
  <si>
    <t>CONSUMO MÉDIO</t>
  </si>
  <si>
    <t>QUILOMETRAGEM RODADA MENSAL</t>
  </si>
  <si>
    <t>35.334,5 KM/MÊS</t>
  </si>
  <si>
    <t>CONSOLIDAÇÃO</t>
  </si>
  <si>
    <t>Mão de obra</t>
  </si>
  <si>
    <t>Equipamentos</t>
  </si>
  <si>
    <t>Combustível</t>
  </si>
  <si>
    <t>CUSTO MENSAL</t>
  </si>
  <si>
    <t>QUANTIDADE COMBUSTÍVEL</t>
  </si>
  <si>
    <t>CUSTO ANUAL</t>
  </si>
  <si>
    <t>REPRESENTATIVIDADE NO CUSTO TOTAL</t>
  </si>
  <si>
    <t>*Valor médio do Óleo Diesel S10 obtido no site da ANP (https://www.gov.br/anp/pt-br/assuntos/precos-e-defesa-da-concorrencia/precos/levantamento-de-precos-de-combustiveis-ultimas-semanas-pesquisadas)</t>
  </si>
  <si>
    <t>2 KM/L</t>
  </si>
  <si>
    <t>4 KM/L</t>
  </si>
  <si>
    <t>Item de custo</t>
  </si>
  <si>
    <t>Observação</t>
  </si>
  <si>
    <t>Seguro  APP</t>
  </si>
  <si>
    <t>Telefone móvel</t>
  </si>
  <si>
    <t>Observa-se que o condutor e o monitor de cada veículo deverão portar rádio de comunicação ou telefone celular, a fim de agilizar o contato com a Contratante em caso de dúvidas ou informar fatos ou anormalidades que impeçam a prestação dos serviços.</t>
  </si>
  <si>
    <t>Pintura / Adesivagem</t>
  </si>
  <si>
    <t>Refere-se à somatória de todos os itens anteriores</t>
  </si>
  <si>
    <t>Peças de reposição e mão de obra p/ manutenção</t>
  </si>
  <si>
    <t>Pneus e acessórios</t>
  </si>
  <si>
    <t>Conforme recomendação do fabricante do veículo (por ex: 9 litros de óleo a cada 10 mil km)</t>
  </si>
  <si>
    <t>Lavagem e graxas</t>
  </si>
  <si>
    <t>Seguro obrigatório, IPVA, Licenciamento e Vistoria</t>
  </si>
  <si>
    <t>Apoio Operacional</t>
  </si>
  <si>
    <t>Monitoramento /GPS</t>
  </si>
  <si>
    <t>Custos Administrativos</t>
  </si>
  <si>
    <t>Custos e despesas relativos a administração da prestação de serviço tais como: Despesas com funcionários, Papelaria, Informática e Outros essenciais</t>
  </si>
  <si>
    <t>Troca de óleo / Revisões</t>
  </si>
  <si>
    <t>Estimativa de gasto com manutenção preventiva do veículo</t>
  </si>
  <si>
    <t xml:space="preserve">Calculado com base no custo mensal </t>
  </si>
  <si>
    <t>Calcula-se com base no valor da lavagem e engraxamento</t>
  </si>
  <si>
    <t xml:space="preserve">Custo fixo mensal </t>
  </si>
  <si>
    <t>Tácografo</t>
  </si>
  <si>
    <t>Garagem</t>
  </si>
  <si>
    <t>Sistema de Bilhetagem Eletrônica</t>
  </si>
  <si>
    <t>VALOR MENSALIDADE (OPERACIONAL)</t>
  </si>
  <si>
    <t>VALOR ANUAL (OPERACIONAL)</t>
  </si>
  <si>
    <t>Sistema de Planejamento e Programação</t>
  </si>
  <si>
    <t>TOTAL COM EQUIPAMENTOS</t>
  </si>
  <si>
    <t>EQUIPAMENTO - VEÍCULOS</t>
  </si>
  <si>
    <t>EQUIPAMENTO - SISTEMICO</t>
  </si>
  <si>
    <t>WI - FI</t>
  </si>
  <si>
    <t>MENSAL</t>
  </si>
  <si>
    <t>CUSTO FIXO MENSAL</t>
  </si>
  <si>
    <t>Despesas Operacionais</t>
  </si>
  <si>
    <t>Refere-se ao valor do prêmio anual do  Seguro de Acidentes Pessoais de Passageiros (APP) dividido por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</si>
</sst>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* #,##0.00\ ;\-* #,##0.00\ ;* \-#\ ;@\ "/>
    <numFmt numFmtId="165" formatCode="_-[$R$-416]\ * #,##0.00_-;\-[$R$-416]\ * #,##0.00_-;_-[$R$-416]\ * &quot;-&quot;??_-;_-@_-"/>
    <numFmt numFmtId="166" formatCode="0.00_ "/>
    <numFmt numFmtId="167" formatCode="0.000%"/>
    <numFmt numFmtId="168" formatCode="0.0000%"/>
    <numFmt numFmtId="169" formatCode="_-&quot;R$&quot;\ * #,##0.0000_-;\-&quot;R$&quot;\ * #,##0.0000_-;_-&quot;R$&quot;\ * &quot;-&quot;????_-;_-@_-"/>
    <numFmt numFmtId="170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theme="0" tint="-0.499984740745262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65" fontId="3" fillId="7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10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6" fontId="3" fillId="5" borderId="6" xfId="0" applyNumberFormat="1" applyFont="1" applyFill="1" applyBorder="1" applyAlignment="1">
      <alignment horizontal="center" vertical="center" wrapText="1"/>
    </xf>
    <xf numFmtId="44" fontId="3" fillId="5" borderId="6" xfId="0" applyNumberFormat="1" applyFont="1" applyFill="1" applyBorder="1" applyAlignment="1">
      <alignment horizontal="center" vertical="center"/>
    </xf>
    <xf numFmtId="44" fontId="3" fillId="1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7" fontId="3" fillId="4" borderId="6" xfId="0" applyNumberFormat="1" applyFont="1" applyFill="1" applyBorder="1" applyAlignment="1">
      <alignment horizontal="center" vertical="center"/>
    </xf>
    <xf numFmtId="44" fontId="3" fillId="7" borderId="6" xfId="1" applyFont="1" applyFill="1" applyBorder="1" applyAlignment="1" applyProtection="1">
      <alignment horizontal="center" vertical="center"/>
    </xf>
    <xf numFmtId="168" fontId="3" fillId="4" borderId="6" xfId="0" applyNumberFormat="1" applyFont="1" applyFill="1" applyBorder="1" applyAlignment="1">
      <alignment horizontal="center" vertical="center"/>
    </xf>
    <xf numFmtId="169" fontId="3" fillId="7" borderId="6" xfId="1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7" fontId="3" fillId="10" borderId="6" xfId="0" applyNumberFormat="1" applyFont="1" applyFill="1" applyBorder="1" applyAlignment="1">
      <alignment horizontal="center" vertical="center"/>
    </xf>
    <xf numFmtId="44" fontId="3" fillId="4" borderId="6" xfId="1" applyFont="1" applyFill="1" applyBorder="1" applyAlignment="1" applyProtection="1">
      <alignment horizontal="center" vertical="center"/>
    </xf>
    <xf numFmtId="167" fontId="3" fillId="5" borderId="6" xfId="0" applyNumberFormat="1" applyFont="1" applyFill="1" applyBorder="1" applyAlignment="1" applyProtection="1">
      <alignment horizontal="center" vertical="center"/>
      <protection locked="0"/>
    </xf>
    <xf numFmtId="10" fontId="3" fillId="10" borderId="6" xfId="0" applyNumberFormat="1" applyFont="1" applyFill="1" applyBorder="1" applyAlignment="1">
      <alignment horizontal="center" vertical="center" wrapText="1"/>
    </xf>
    <xf numFmtId="44" fontId="3" fillId="7" borderId="6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4" fontId="2" fillId="5" borderId="6" xfId="0" applyNumberFormat="1" applyFont="1" applyFill="1" applyBorder="1" applyAlignment="1">
      <alignment horizontal="center" vertical="center"/>
    </xf>
    <xf numFmtId="167" fontId="3" fillId="1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1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167" fontId="3" fillId="10" borderId="6" xfId="2" applyNumberFormat="1" applyFont="1" applyFill="1" applyBorder="1" applyAlignment="1" applyProtection="1">
      <alignment horizontal="center" vertical="center"/>
    </xf>
    <xf numFmtId="10" fontId="3" fillId="10" borderId="6" xfId="2" applyNumberFormat="1" applyFont="1" applyFill="1" applyBorder="1" applyAlignment="1" applyProtection="1">
      <alignment horizontal="center" vertical="center"/>
    </xf>
    <xf numFmtId="10" fontId="3" fillId="0" borderId="6" xfId="2" applyNumberFormat="1" applyFont="1" applyBorder="1" applyAlignment="1" applyProtection="1">
      <alignment horizontal="center" vertical="center"/>
    </xf>
    <xf numFmtId="44" fontId="3" fillId="0" borderId="6" xfId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8" fillId="12" borderId="27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8" fontId="8" fillId="0" borderId="28" xfId="0" applyNumberFormat="1" applyFont="1" applyBorder="1" applyAlignment="1">
      <alignment horizontal="center" vertical="center"/>
    </xf>
    <xf numFmtId="10" fontId="8" fillId="0" borderId="28" xfId="0" applyNumberFormat="1" applyFont="1" applyBorder="1" applyAlignment="1">
      <alignment horizontal="center" vertical="center"/>
    </xf>
    <xf numFmtId="8" fontId="7" fillId="0" borderId="28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9" fillId="0" borderId="0" xfId="0" applyFont="1"/>
    <xf numFmtId="0" fontId="7" fillId="11" borderId="25" xfId="0" applyFont="1" applyFill="1" applyBorder="1" applyAlignment="1">
      <alignment horizontal="right" vertical="center"/>
    </xf>
    <xf numFmtId="0" fontId="7" fillId="11" borderId="2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12" borderId="27" xfId="0" applyFont="1" applyFill="1" applyBorder="1" applyAlignment="1">
      <alignment horizontal="right" vertical="top"/>
    </xf>
    <xf numFmtId="8" fontId="8" fillId="0" borderId="28" xfId="0" applyNumberFormat="1" applyFont="1" applyBorder="1" applyAlignment="1">
      <alignment horizontal="right" vertical="top"/>
    </xf>
    <xf numFmtId="44" fontId="7" fillId="0" borderId="26" xfId="0" applyNumberFormat="1" applyFont="1" applyBorder="1" applyAlignment="1">
      <alignment horizontal="right" vertical="top"/>
    </xf>
    <xf numFmtId="8" fontId="7" fillId="0" borderId="28" xfId="0" applyNumberFormat="1" applyFont="1" applyBorder="1" applyAlignment="1">
      <alignment horizontal="right" vertical="top"/>
    </xf>
    <xf numFmtId="44" fontId="2" fillId="0" borderId="0" xfId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8" fillId="12" borderId="36" xfId="0" applyFont="1" applyFill="1" applyBorder="1" applyAlignment="1">
      <alignment horizontal="right" vertical="top"/>
    </xf>
    <xf numFmtId="0" fontId="8" fillId="12" borderId="6" xfId="0" applyFont="1" applyFill="1" applyBorder="1" applyAlignment="1">
      <alignment horizontal="right" vertical="top"/>
    </xf>
    <xf numFmtId="0" fontId="7" fillId="11" borderId="39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/>
    <xf numFmtId="0" fontId="12" fillId="0" borderId="15" xfId="0" applyFont="1" applyBorder="1" applyAlignment="1">
      <alignment vertical="top" wrapText="1"/>
    </xf>
    <xf numFmtId="0" fontId="11" fillId="13" borderId="43" xfId="0" applyFont="1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vertical="center" wrapText="1"/>
    </xf>
    <xf numFmtId="44" fontId="13" fillId="0" borderId="48" xfId="1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44" fontId="13" fillId="0" borderId="50" xfId="1" applyFont="1" applyBorder="1" applyAlignment="1">
      <alignment vertical="center"/>
    </xf>
    <xf numFmtId="0" fontId="12" fillId="0" borderId="49" xfId="0" applyFont="1" applyBorder="1" applyAlignment="1">
      <alignment vertical="center" wrapText="1"/>
    </xf>
    <xf numFmtId="44" fontId="13" fillId="0" borderId="50" xfId="0" applyNumberFormat="1" applyFont="1" applyBorder="1" applyAlignment="1">
      <alignment vertical="center" wrapText="1"/>
    </xf>
    <xf numFmtId="0" fontId="12" fillId="0" borderId="51" xfId="0" applyFont="1" applyBorder="1" applyAlignment="1">
      <alignment vertical="center"/>
    </xf>
    <xf numFmtId="0" fontId="12" fillId="0" borderId="34" xfId="0" applyFont="1" applyBorder="1" applyAlignment="1">
      <alignment vertical="center" wrapText="1"/>
    </xf>
    <xf numFmtId="44" fontId="13" fillId="0" borderId="52" xfId="0" applyNumberFormat="1" applyFont="1" applyBorder="1" applyAlignment="1">
      <alignment vertical="center" wrapText="1"/>
    </xf>
    <xf numFmtId="0" fontId="11" fillId="0" borderId="43" xfId="0" applyFont="1" applyBorder="1" applyAlignment="1">
      <alignment vertical="center"/>
    </xf>
    <xf numFmtId="0" fontId="11" fillId="0" borderId="53" xfId="0" applyFont="1" applyBorder="1" applyAlignment="1">
      <alignment vertical="center" wrapText="1"/>
    </xf>
    <xf numFmtId="44" fontId="14" fillId="5" borderId="45" xfId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70" fontId="16" fillId="0" borderId="7" xfId="0" applyNumberFormat="1" applyFont="1" applyBorder="1" applyAlignment="1">
      <alignment horizontal="center" vertical="center"/>
    </xf>
    <xf numFmtId="170" fontId="16" fillId="0" borderId="6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0" fontId="16" fillId="0" borderId="42" xfId="0" applyNumberFormat="1" applyFont="1" applyBorder="1" applyAlignment="1">
      <alignment horizontal="center" vertical="center"/>
    </xf>
    <xf numFmtId="170" fontId="16" fillId="0" borderId="34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31" xfId="0" applyFont="1" applyBorder="1"/>
    <xf numFmtId="170" fontId="17" fillId="0" borderId="33" xfId="0" applyNumberFormat="1" applyFont="1" applyBorder="1"/>
    <xf numFmtId="170" fontId="18" fillId="0" borderId="46" xfId="0" applyNumberFormat="1" applyFont="1" applyBorder="1" applyAlignment="1">
      <alignment horizontal="center" vertical="center"/>
    </xf>
    <xf numFmtId="170" fontId="18" fillId="0" borderId="45" xfId="0" applyNumberFormat="1" applyFont="1" applyBorder="1" applyAlignment="1">
      <alignment horizontal="center" vertical="center"/>
    </xf>
    <xf numFmtId="44" fontId="8" fillId="0" borderId="28" xfId="1" applyFont="1" applyBorder="1" applyAlignment="1">
      <alignment horizontal="right"/>
    </xf>
    <xf numFmtId="170" fontId="8" fillId="12" borderId="28" xfId="0" applyNumberFormat="1" applyFont="1" applyFill="1" applyBorder="1" applyAlignment="1">
      <alignment horizontal="right" vertical="center"/>
    </xf>
    <xf numFmtId="8" fontId="8" fillId="12" borderId="28" xfId="0" applyNumberFormat="1" applyFont="1" applyFill="1" applyBorder="1" applyAlignment="1">
      <alignment horizontal="right" vertical="center"/>
    </xf>
    <xf numFmtId="8" fontId="8" fillId="12" borderId="37" xfId="0" applyNumberFormat="1" applyFont="1" applyFill="1" applyBorder="1" applyAlignment="1">
      <alignment horizontal="right" vertical="center"/>
    </xf>
    <xf numFmtId="170" fontId="8" fillId="12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/>
    </xf>
    <xf numFmtId="0" fontId="7" fillId="12" borderId="30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8" fontId="7" fillId="0" borderId="2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7" fillId="12" borderId="35" xfId="0" applyFont="1" applyFill="1" applyBorder="1" applyAlignment="1">
      <alignment horizontal="right" vertical="top"/>
    </xf>
    <xf numFmtId="0" fontId="7" fillId="12" borderId="38" xfId="0" applyFont="1" applyFill="1" applyBorder="1" applyAlignment="1">
      <alignment horizontal="right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tabSelected="1" zoomScale="145" zoomScaleNormal="145" workbookViewId="0">
      <selection sqref="A1:D1"/>
    </sheetView>
  </sheetViews>
  <sheetFormatPr defaultRowHeight="15" x14ac:dyDescent="0.25"/>
  <cols>
    <col min="1" max="1" width="5" bestFit="1" customWidth="1"/>
    <col min="2" max="2" width="56.140625" bestFit="1" customWidth="1"/>
    <col min="3" max="3" width="17.5703125" bestFit="1" customWidth="1"/>
    <col min="4" max="4" width="19.85546875" bestFit="1" customWidth="1"/>
    <col min="5" max="5" width="14.5703125" customWidth="1"/>
    <col min="6" max="6" width="15.140625" customWidth="1"/>
  </cols>
  <sheetData>
    <row r="1" spans="1:4" x14ac:dyDescent="0.25">
      <c r="A1" s="167" t="s">
        <v>0</v>
      </c>
      <c r="B1" s="167"/>
      <c r="C1" s="167"/>
      <c r="D1" s="167"/>
    </row>
    <row r="2" spans="1:4" ht="15.75" thickBot="1" x14ac:dyDescent="0.3">
      <c r="A2" s="168" t="s">
        <v>1</v>
      </c>
      <c r="B2" s="168"/>
      <c r="C2" s="168"/>
      <c r="D2" s="168"/>
    </row>
    <row r="3" spans="1:4" x14ac:dyDescent="0.25">
      <c r="A3" s="169" t="s">
        <v>2</v>
      </c>
      <c r="B3" s="170"/>
      <c r="C3" s="170"/>
      <c r="D3" s="58"/>
    </row>
    <row r="4" spans="1:4" x14ac:dyDescent="0.25">
      <c r="A4" s="59"/>
      <c r="B4" s="60"/>
      <c r="C4" s="60"/>
      <c r="D4" s="60"/>
    </row>
    <row r="5" spans="1:4" ht="15.75" thickBot="1" x14ac:dyDescent="0.3">
      <c r="A5" s="171" t="s">
        <v>3</v>
      </c>
      <c r="B5" s="171"/>
      <c r="C5" s="171"/>
      <c r="D5" s="171"/>
    </row>
    <row r="6" spans="1:4" x14ac:dyDescent="0.25">
      <c r="A6" s="61" t="s">
        <v>4</v>
      </c>
      <c r="B6" s="166" t="s">
        <v>5</v>
      </c>
      <c r="C6" s="166"/>
      <c r="D6" s="62"/>
    </row>
    <row r="7" spans="1:4" x14ac:dyDescent="0.25">
      <c r="A7" s="1" t="s">
        <v>6</v>
      </c>
      <c r="B7" s="174" t="s">
        <v>7</v>
      </c>
      <c r="C7" s="174"/>
      <c r="D7" s="2" t="s">
        <v>8</v>
      </c>
    </row>
    <row r="8" spans="1:4" x14ac:dyDescent="0.25">
      <c r="A8" s="3" t="s">
        <v>9</v>
      </c>
      <c r="B8" s="155" t="s">
        <v>10</v>
      </c>
      <c r="C8" s="155"/>
      <c r="D8" s="2" t="s">
        <v>114</v>
      </c>
    </row>
    <row r="9" spans="1:4" x14ac:dyDescent="0.25">
      <c r="A9" s="3" t="s">
        <v>11</v>
      </c>
      <c r="B9" s="175" t="s">
        <v>12</v>
      </c>
      <c r="C9" s="153"/>
      <c r="D9" s="2" t="s">
        <v>13</v>
      </c>
    </row>
    <row r="10" spans="1:4" x14ac:dyDescent="0.25">
      <c r="A10" s="3" t="s">
        <v>14</v>
      </c>
      <c r="B10" s="155" t="s">
        <v>15</v>
      </c>
      <c r="C10" s="155"/>
      <c r="D10" s="4">
        <v>45217</v>
      </c>
    </row>
    <row r="11" spans="1:4" x14ac:dyDescent="0.25">
      <c r="A11" s="3" t="s">
        <v>16</v>
      </c>
      <c r="B11" s="155" t="s">
        <v>17</v>
      </c>
      <c r="C11" s="155"/>
      <c r="D11" s="2" t="s">
        <v>18</v>
      </c>
    </row>
    <row r="12" spans="1:4" x14ac:dyDescent="0.25">
      <c r="A12" s="155"/>
      <c r="B12" s="155"/>
      <c r="C12" s="155"/>
      <c r="D12" s="155"/>
    </row>
    <row r="13" spans="1:4" ht="15.75" thickBot="1" x14ac:dyDescent="0.3">
      <c r="A13" s="154" t="s">
        <v>19</v>
      </c>
      <c r="B13" s="154"/>
      <c r="C13" s="154"/>
      <c r="D13" s="154"/>
    </row>
    <row r="14" spans="1:4" x14ac:dyDescent="0.25">
      <c r="A14" s="155" t="s">
        <v>20</v>
      </c>
      <c r="B14" s="155"/>
      <c r="C14" s="155"/>
      <c r="D14" s="3" t="s">
        <v>115</v>
      </c>
    </row>
    <row r="15" spans="1:4" x14ac:dyDescent="0.25">
      <c r="A15" s="155" t="s">
        <v>21</v>
      </c>
      <c r="B15" s="155"/>
      <c r="C15" s="155"/>
      <c r="D15" s="2" t="s">
        <v>22</v>
      </c>
    </row>
    <row r="16" spans="1:4" x14ac:dyDescent="0.25">
      <c r="A16" s="152"/>
      <c r="B16" s="152"/>
      <c r="C16" s="152"/>
      <c r="D16" s="153"/>
    </row>
    <row r="17" spans="1:4" ht="15.75" thickBot="1" x14ac:dyDescent="0.3">
      <c r="A17" s="154" t="s">
        <v>23</v>
      </c>
      <c r="B17" s="154"/>
      <c r="C17" s="154"/>
      <c r="D17" s="154"/>
    </row>
    <row r="18" spans="1:4" x14ac:dyDescent="0.25">
      <c r="A18" s="1">
        <v>3</v>
      </c>
      <c r="B18" s="172" t="s">
        <v>24</v>
      </c>
      <c r="C18" s="173"/>
      <c r="D18" s="5">
        <v>2975.96</v>
      </c>
    </row>
    <row r="19" spans="1:4" ht="25.5" x14ac:dyDescent="0.25">
      <c r="A19" s="3">
        <v>4</v>
      </c>
      <c r="B19" s="155" t="s">
        <v>25</v>
      </c>
      <c r="C19" s="155"/>
      <c r="D19" s="3" t="s">
        <v>116</v>
      </c>
    </row>
    <row r="20" spans="1:4" x14ac:dyDescent="0.25">
      <c r="A20" s="3">
        <v>6</v>
      </c>
      <c r="B20" s="155" t="s">
        <v>26</v>
      </c>
      <c r="C20" s="155"/>
      <c r="D20" s="5">
        <v>1412</v>
      </c>
    </row>
    <row r="21" spans="1:4" ht="15.75" thickBot="1" x14ac:dyDescent="0.3">
      <c r="A21" s="6"/>
      <c r="B21" s="6"/>
      <c r="C21" s="6"/>
      <c r="D21" s="6"/>
    </row>
    <row r="22" spans="1:4" ht="15.75" thickBot="1" x14ac:dyDescent="0.3">
      <c r="A22" s="140" t="s">
        <v>27</v>
      </c>
      <c r="B22" s="140"/>
      <c r="C22" s="140"/>
      <c r="D22" s="140"/>
    </row>
    <row r="23" spans="1:4" x14ac:dyDescent="0.25">
      <c r="A23" s="7">
        <v>1</v>
      </c>
      <c r="B23" s="149" t="s">
        <v>28</v>
      </c>
      <c r="C23" s="149"/>
      <c r="D23" s="7" t="s">
        <v>29</v>
      </c>
    </row>
    <row r="24" spans="1:4" x14ac:dyDescent="0.25">
      <c r="A24" s="1" t="s">
        <v>4</v>
      </c>
      <c r="B24" s="1" t="s">
        <v>30</v>
      </c>
      <c r="C24" s="1"/>
      <c r="D24" s="8">
        <v>2975.96</v>
      </c>
    </row>
    <row r="25" spans="1:4" x14ac:dyDescent="0.25">
      <c r="A25" s="149" t="s">
        <v>31</v>
      </c>
      <c r="B25" s="149"/>
      <c r="C25" s="149"/>
      <c r="D25" s="9">
        <f>SUM(D24:D24)</f>
        <v>2975.96</v>
      </c>
    </row>
    <row r="26" spans="1:4" ht="15.75" thickBot="1" x14ac:dyDescent="0.3">
      <c r="A26" s="6" t="s">
        <v>32</v>
      </c>
      <c r="B26" s="6"/>
      <c r="C26" s="6"/>
      <c r="D26" s="6"/>
    </row>
    <row r="27" spans="1:4" ht="15.75" thickBot="1" x14ac:dyDescent="0.3">
      <c r="A27" s="140" t="s">
        <v>33</v>
      </c>
      <c r="B27" s="140"/>
      <c r="C27" s="140"/>
      <c r="D27" s="140"/>
    </row>
    <row r="28" spans="1:4" x14ac:dyDescent="0.25">
      <c r="A28" s="156" t="s">
        <v>34</v>
      </c>
      <c r="B28" s="156"/>
      <c r="C28" s="156"/>
      <c r="D28" s="156"/>
    </row>
    <row r="29" spans="1:4" x14ac:dyDescent="0.25">
      <c r="A29" s="7" t="s">
        <v>35</v>
      </c>
      <c r="B29" s="149" t="s">
        <v>36</v>
      </c>
      <c r="C29" s="149"/>
      <c r="D29" s="7" t="s">
        <v>29</v>
      </c>
    </row>
    <row r="30" spans="1:4" x14ac:dyDescent="0.25">
      <c r="A30" s="2" t="s">
        <v>4</v>
      </c>
      <c r="B30" s="2" t="s">
        <v>37</v>
      </c>
      <c r="C30" s="10">
        <v>8.3299999999999999E-2</v>
      </c>
      <c r="D30" s="11">
        <f>C30*D25</f>
        <v>247.897468</v>
      </c>
    </row>
    <row r="31" spans="1:4" x14ac:dyDescent="0.25">
      <c r="A31" s="2" t="s">
        <v>6</v>
      </c>
      <c r="B31" s="2" t="s">
        <v>38</v>
      </c>
      <c r="C31" s="10">
        <v>2.7799999999999998E-2</v>
      </c>
      <c r="D31" s="11">
        <f>SUM(D25*C31)</f>
        <v>82.731687999999991</v>
      </c>
    </row>
    <row r="32" spans="1:4" x14ac:dyDescent="0.25">
      <c r="A32" s="157" t="s">
        <v>39</v>
      </c>
      <c r="B32" s="158"/>
      <c r="C32" s="12">
        <f>SUM(C30+C31)</f>
        <v>0.1111</v>
      </c>
      <c r="D32" s="13">
        <f>SUM(D30:D31)</f>
        <v>330.62915599999997</v>
      </c>
    </row>
    <row r="33" spans="1:4" x14ac:dyDescent="0.25">
      <c r="A33" s="159" t="s">
        <v>40</v>
      </c>
      <c r="B33" s="138"/>
      <c r="C33" s="15">
        <f>SUM(C38:C45)</f>
        <v>0.36800000000000005</v>
      </c>
      <c r="D33" s="11">
        <f>SUM(D32*C33)</f>
        <v>121.671529408</v>
      </c>
    </row>
    <row r="34" spans="1:4" x14ac:dyDescent="0.25">
      <c r="A34" s="160" t="s">
        <v>31</v>
      </c>
      <c r="B34" s="161"/>
      <c r="C34" s="162"/>
      <c r="D34" s="16">
        <f>SUM(D32+D33)</f>
        <v>452.30068540799994</v>
      </c>
    </row>
    <row r="35" spans="1:4" x14ac:dyDescent="0.25">
      <c r="A35" s="150"/>
      <c r="B35" s="150"/>
      <c r="C35" s="150"/>
      <c r="D35" s="150"/>
    </row>
    <row r="36" spans="1:4" ht="29.25" customHeight="1" x14ac:dyDescent="0.25">
      <c r="A36" s="141" t="s">
        <v>41</v>
      </c>
      <c r="B36" s="141"/>
      <c r="C36" s="141"/>
      <c r="D36" s="141"/>
    </row>
    <row r="37" spans="1:4" x14ac:dyDescent="0.25">
      <c r="A37" s="18" t="s">
        <v>42</v>
      </c>
      <c r="B37" s="18" t="s">
        <v>43</v>
      </c>
      <c r="C37" s="18" t="s">
        <v>44</v>
      </c>
      <c r="D37" s="18" t="s">
        <v>29</v>
      </c>
    </row>
    <row r="38" spans="1:4" x14ac:dyDescent="0.25">
      <c r="A38" s="19" t="s">
        <v>4</v>
      </c>
      <c r="B38" s="19" t="s">
        <v>45</v>
      </c>
      <c r="C38" s="15">
        <v>0.2</v>
      </c>
      <c r="D38" s="8">
        <f>D25*C38</f>
        <v>595.19200000000001</v>
      </c>
    </row>
    <row r="39" spans="1:4" x14ac:dyDescent="0.25">
      <c r="A39" s="19" t="s">
        <v>6</v>
      </c>
      <c r="B39" s="19" t="s">
        <v>46</v>
      </c>
      <c r="C39" s="15">
        <v>2.5000000000000001E-2</v>
      </c>
      <c r="D39" s="8">
        <f>D25*C39</f>
        <v>74.399000000000001</v>
      </c>
    </row>
    <row r="40" spans="1:4" x14ac:dyDescent="0.25">
      <c r="A40" s="19" t="s">
        <v>9</v>
      </c>
      <c r="B40" s="20" t="s">
        <v>47</v>
      </c>
      <c r="C40" s="57">
        <v>0.03</v>
      </c>
      <c r="D40" s="8">
        <f>D25*C40</f>
        <v>89.278800000000004</v>
      </c>
    </row>
    <row r="41" spans="1:4" x14ac:dyDescent="0.25">
      <c r="A41" s="19" t="s">
        <v>11</v>
      </c>
      <c r="B41" s="19" t="s">
        <v>48</v>
      </c>
      <c r="C41" s="15">
        <v>1.4999999999999999E-2</v>
      </c>
      <c r="D41" s="8">
        <f>D25*C41</f>
        <v>44.639400000000002</v>
      </c>
    </row>
    <row r="42" spans="1:4" x14ac:dyDescent="0.25">
      <c r="A42" s="19" t="s">
        <v>14</v>
      </c>
      <c r="B42" s="19" t="s">
        <v>49</v>
      </c>
      <c r="C42" s="15">
        <v>0.01</v>
      </c>
      <c r="D42" s="8">
        <f>D25*C42</f>
        <v>29.759600000000002</v>
      </c>
    </row>
    <row r="43" spans="1:4" x14ac:dyDescent="0.25">
      <c r="A43" s="19" t="s">
        <v>16</v>
      </c>
      <c r="B43" s="19" t="s">
        <v>50</v>
      </c>
      <c r="C43" s="15">
        <v>6.0000000000000001E-3</v>
      </c>
      <c r="D43" s="8">
        <f>D25*C43</f>
        <v>17.85576</v>
      </c>
    </row>
    <row r="44" spans="1:4" x14ac:dyDescent="0.25">
      <c r="A44" s="19" t="s">
        <v>51</v>
      </c>
      <c r="B44" s="19" t="s">
        <v>52</v>
      </c>
      <c r="C44" s="15">
        <v>2E-3</v>
      </c>
      <c r="D44" s="8">
        <f>D25*C44</f>
        <v>5.9519200000000003</v>
      </c>
    </row>
    <row r="45" spans="1:4" x14ac:dyDescent="0.25">
      <c r="A45" s="19" t="s">
        <v>53</v>
      </c>
      <c r="B45" s="19" t="s">
        <v>54</v>
      </c>
      <c r="C45" s="15">
        <v>0.08</v>
      </c>
      <c r="D45" s="8">
        <f>D25*C45</f>
        <v>238.07680000000002</v>
      </c>
    </row>
    <row r="46" spans="1:4" x14ac:dyDescent="0.25">
      <c r="A46" s="19"/>
      <c r="B46" s="18" t="s">
        <v>31</v>
      </c>
      <c r="C46" s="15">
        <f>SUM(C38:C45)</f>
        <v>0.36800000000000005</v>
      </c>
      <c r="D46" s="9">
        <f>SUM(D38:D45)</f>
        <v>1095.15328</v>
      </c>
    </row>
    <row r="47" spans="1:4" x14ac:dyDescent="0.25">
      <c r="A47" s="150"/>
      <c r="B47" s="150"/>
      <c r="C47" s="150"/>
      <c r="D47" s="150"/>
    </row>
    <row r="48" spans="1:4" x14ac:dyDescent="0.25">
      <c r="A48" s="141" t="s">
        <v>55</v>
      </c>
      <c r="B48" s="141"/>
      <c r="C48" s="141"/>
      <c r="D48" s="141"/>
    </row>
    <row r="49" spans="1:4" x14ac:dyDescent="0.25">
      <c r="A49" s="7" t="s">
        <v>56</v>
      </c>
      <c r="B49" s="149" t="s">
        <v>57</v>
      </c>
      <c r="C49" s="149"/>
      <c r="D49" s="7" t="s">
        <v>29</v>
      </c>
    </row>
    <row r="50" spans="1:4" x14ac:dyDescent="0.25">
      <c r="A50" s="1" t="s">
        <v>4</v>
      </c>
      <c r="B50" s="22" t="s">
        <v>117</v>
      </c>
      <c r="C50" s="21"/>
      <c r="D50" s="11">
        <v>531.41999999999996</v>
      </c>
    </row>
    <row r="51" spans="1:4" x14ac:dyDescent="0.25">
      <c r="A51" s="1" t="s">
        <v>6</v>
      </c>
      <c r="B51" s="1" t="s">
        <v>118</v>
      </c>
      <c r="C51" s="23"/>
      <c r="D51" s="24">
        <v>8.9499999999999993</v>
      </c>
    </row>
    <row r="52" spans="1:4" x14ac:dyDescent="0.25">
      <c r="A52" s="1" t="s">
        <v>9</v>
      </c>
      <c r="B52" s="1"/>
      <c r="C52" s="21"/>
      <c r="D52" s="11"/>
    </row>
    <row r="53" spans="1:4" x14ac:dyDescent="0.25">
      <c r="A53" s="149" t="s">
        <v>31</v>
      </c>
      <c r="B53" s="149"/>
      <c r="C53" s="149"/>
      <c r="D53" s="13">
        <f>SUM(D50:D52)</f>
        <v>540.37</v>
      </c>
    </row>
    <row r="54" spans="1:4" x14ac:dyDescent="0.25">
      <c r="A54" s="150"/>
      <c r="B54" s="150"/>
      <c r="C54" s="150"/>
      <c r="D54" s="150"/>
    </row>
    <row r="55" spans="1:4" x14ac:dyDescent="0.25">
      <c r="A55" s="141" t="s">
        <v>58</v>
      </c>
      <c r="B55" s="141"/>
      <c r="C55" s="141"/>
      <c r="D55" s="141"/>
    </row>
    <row r="56" spans="1:4" x14ac:dyDescent="0.25">
      <c r="A56" s="7">
        <v>2</v>
      </c>
      <c r="B56" s="149" t="s">
        <v>59</v>
      </c>
      <c r="C56" s="149"/>
      <c r="D56" s="7" t="s">
        <v>29</v>
      </c>
    </row>
    <row r="57" spans="1:4" x14ac:dyDescent="0.25">
      <c r="A57" s="1" t="s">
        <v>35</v>
      </c>
      <c r="B57" s="151" t="s">
        <v>60</v>
      </c>
      <c r="C57" s="151"/>
      <c r="D57" s="8">
        <f>D34</f>
        <v>452.30068540799994</v>
      </c>
    </row>
    <row r="58" spans="1:4" x14ac:dyDescent="0.25">
      <c r="A58" s="1" t="s">
        <v>42</v>
      </c>
      <c r="B58" s="151" t="s">
        <v>43</v>
      </c>
      <c r="C58" s="151"/>
      <c r="D58" s="8">
        <f>D46</f>
        <v>1095.15328</v>
      </c>
    </row>
    <row r="59" spans="1:4" x14ac:dyDescent="0.25">
      <c r="A59" s="1" t="s">
        <v>56</v>
      </c>
      <c r="B59" s="151" t="s">
        <v>57</v>
      </c>
      <c r="C59" s="151"/>
      <c r="D59" s="8">
        <f>D53</f>
        <v>540.37</v>
      </c>
    </row>
    <row r="60" spans="1:4" x14ac:dyDescent="0.25">
      <c r="A60" s="149" t="s">
        <v>31</v>
      </c>
      <c r="B60" s="149"/>
      <c r="C60" s="149"/>
      <c r="D60" s="9">
        <f>SUM(D57:D59)</f>
        <v>2087.8239654079998</v>
      </c>
    </row>
    <row r="61" spans="1:4" x14ac:dyDescent="0.25">
      <c r="A61" s="26"/>
      <c r="B61" s="26"/>
      <c r="C61" s="26"/>
      <c r="D61" s="27"/>
    </row>
    <row r="62" spans="1:4" x14ac:dyDescent="0.25">
      <c r="A62" s="137" t="s">
        <v>61</v>
      </c>
      <c r="B62" s="137"/>
      <c r="C62" s="137"/>
      <c r="D62" s="137"/>
    </row>
    <row r="63" spans="1:4" x14ac:dyDescent="0.25">
      <c r="A63" s="14">
        <v>3</v>
      </c>
      <c r="B63" s="7" t="s">
        <v>62</v>
      </c>
      <c r="C63" s="7" t="s">
        <v>63</v>
      </c>
      <c r="D63" s="7" t="s">
        <v>29</v>
      </c>
    </row>
    <row r="64" spans="1:4" x14ac:dyDescent="0.25">
      <c r="A64" s="2" t="s">
        <v>4</v>
      </c>
      <c r="B64" s="2" t="s">
        <v>64</v>
      </c>
      <c r="C64" s="28">
        <v>4.1700000000000001E-3</v>
      </c>
      <c r="D64" s="29">
        <f>D25*C64</f>
        <v>12.409753200000001</v>
      </c>
    </row>
    <row r="65" spans="1:4" x14ac:dyDescent="0.25">
      <c r="A65" s="2" t="s">
        <v>6</v>
      </c>
      <c r="B65" s="2" t="s">
        <v>65</v>
      </c>
      <c r="C65" s="30">
        <v>3.3399999999999999E-4</v>
      </c>
      <c r="D65" s="31">
        <f>D25*C65</f>
        <v>0.99397064000000002</v>
      </c>
    </row>
    <row r="66" spans="1:4" x14ac:dyDescent="0.25">
      <c r="A66" s="32" t="s">
        <v>9</v>
      </c>
      <c r="B66" s="32" t="s">
        <v>66</v>
      </c>
      <c r="C66" s="33">
        <v>1.6000000000000001E-3</v>
      </c>
      <c r="D66" s="34">
        <f>SUM(D25+D32)*C66</f>
        <v>5.2905426495999999</v>
      </c>
    </row>
    <row r="67" spans="1:4" x14ac:dyDescent="0.25">
      <c r="A67" s="2" t="s">
        <v>11</v>
      </c>
      <c r="B67" s="2" t="s">
        <v>67</v>
      </c>
      <c r="C67" s="35">
        <v>1.84E-2</v>
      </c>
      <c r="D67" s="29">
        <f>D25*C67</f>
        <v>54.757663999999998</v>
      </c>
    </row>
    <row r="68" spans="1:4" ht="25.5" x14ac:dyDescent="0.25">
      <c r="A68" s="1" t="s">
        <v>14</v>
      </c>
      <c r="B68" s="1" t="s">
        <v>68</v>
      </c>
      <c r="C68" s="36">
        <v>5.4000000000000003E-3</v>
      </c>
      <c r="D68" s="37">
        <f>D25*C68</f>
        <v>16.070184000000001</v>
      </c>
    </row>
    <row r="69" spans="1:4" x14ac:dyDescent="0.25">
      <c r="A69" s="32" t="s">
        <v>16</v>
      </c>
      <c r="B69" s="32" t="s">
        <v>69</v>
      </c>
      <c r="C69" s="33">
        <v>3.04E-2</v>
      </c>
      <c r="D69" s="34">
        <f>(D25+D32)*C69</f>
        <v>100.52031034239999</v>
      </c>
    </row>
    <row r="70" spans="1:4" x14ac:dyDescent="0.25">
      <c r="A70" s="138" t="s">
        <v>31</v>
      </c>
      <c r="B70" s="138"/>
      <c r="C70" s="138"/>
      <c r="D70" s="13">
        <f>SUM(D64:D69)</f>
        <v>190.04242483199999</v>
      </c>
    </row>
    <row r="71" spans="1:4" x14ac:dyDescent="0.25">
      <c r="A71" s="38"/>
      <c r="B71" s="38"/>
      <c r="C71" s="38"/>
      <c r="D71" s="39"/>
    </row>
    <row r="72" spans="1:4" x14ac:dyDescent="0.25">
      <c r="A72" s="139" t="s">
        <v>70</v>
      </c>
      <c r="B72" s="139"/>
      <c r="C72" s="139"/>
      <c r="D72" s="139"/>
    </row>
    <row r="73" spans="1:4" x14ac:dyDescent="0.25">
      <c r="A73" s="2" t="s">
        <v>4</v>
      </c>
      <c r="B73" s="2" t="s">
        <v>71</v>
      </c>
      <c r="C73" s="14"/>
      <c r="D73" s="13">
        <f>D25</f>
        <v>2975.96</v>
      </c>
    </row>
    <row r="74" spans="1:4" x14ac:dyDescent="0.25">
      <c r="A74" s="2" t="s">
        <v>6</v>
      </c>
      <c r="B74" s="2" t="s">
        <v>72</v>
      </c>
      <c r="C74" s="14"/>
      <c r="D74" s="13">
        <f>D60</f>
        <v>2087.8239654079998</v>
      </c>
    </row>
    <row r="75" spans="1:4" x14ac:dyDescent="0.25">
      <c r="A75" s="32" t="s">
        <v>9</v>
      </c>
      <c r="B75" s="32" t="s">
        <v>73</v>
      </c>
      <c r="C75" s="40">
        <f>D73/12</f>
        <v>247.99666666666667</v>
      </c>
      <c r="D75" s="40">
        <f>C75*C46+C75</f>
        <v>339.25944000000004</v>
      </c>
    </row>
    <row r="76" spans="1:4" x14ac:dyDescent="0.25">
      <c r="A76" s="32" t="s">
        <v>11</v>
      </c>
      <c r="B76" s="2" t="s">
        <v>74</v>
      </c>
      <c r="C76" s="40"/>
      <c r="D76" s="13">
        <f>D69</f>
        <v>100.52031034239999</v>
      </c>
    </row>
    <row r="77" spans="1:4" x14ac:dyDescent="0.25">
      <c r="A77" s="2" t="s">
        <v>14</v>
      </c>
      <c r="B77" s="2" t="s">
        <v>120</v>
      </c>
      <c r="C77" s="14"/>
      <c r="D77" s="63">
        <v>-531.41999999999996</v>
      </c>
    </row>
    <row r="78" spans="1:4" x14ac:dyDescent="0.25">
      <c r="A78" s="138" t="s">
        <v>75</v>
      </c>
      <c r="B78" s="138"/>
      <c r="C78" s="138"/>
      <c r="D78" s="13">
        <f>SUM(D73:D77)</f>
        <v>4972.1437157503997</v>
      </c>
    </row>
    <row r="79" spans="1:4" ht="15.75" thickBot="1" x14ac:dyDescent="0.3">
      <c r="A79" s="38"/>
      <c r="B79" s="38"/>
      <c r="C79" s="38"/>
      <c r="D79" s="38"/>
    </row>
    <row r="80" spans="1:4" ht="15.75" thickBot="1" x14ac:dyDescent="0.3">
      <c r="A80" s="140" t="s">
        <v>76</v>
      </c>
      <c r="B80" s="140"/>
      <c r="C80" s="140"/>
      <c r="D80" s="140"/>
    </row>
    <row r="81" spans="1:4" x14ac:dyDescent="0.25">
      <c r="A81" s="141" t="s">
        <v>77</v>
      </c>
      <c r="B81" s="141"/>
      <c r="C81" s="141"/>
      <c r="D81" s="141"/>
    </row>
    <row r="82" spans="1:4" x14ac:dyDescent="0.25">
      <c r="A82" s="7" t="s">
        <v>78</v>
      </c>
      <c r="B82" s="7" t="s">
        <v>79</v>
      </c>
      <c r="C82" s="7" t="s">
        <v>63</v>
      </c>
      <c r="D82" s="7" t="s">
        <v>29</v>
      </c>
    </row>
    <row r="83" spans="1:4" x14ac:dyDescent="0.25">
      <c r="A83" s="2" t="s">
        <v>4</v>
      </c>
      <c r="B83" s="1" t="s">
        <v>80</v>
      </c>
      <c r="C83" s="15">
        <v>8.3299999999999999E-2</v>
      </c>
      <c r="D83" s="11">
        <f>D78*C83</f>
        <v>414.1795715220083</v>
      </c>
    </row>
    <row r="84" spans="1:4" x14ac:dyDescent="0.25">
      <c r="A84" s="2" t="s">
        <v>6</v>
      </c>
      <c r="B84" s="1" t="s">
        <v>81</v>
      </c>
      <c r="C84" s="41">
        <v>2.2200000000000002E-3</v>
      </c>
      <c r="D84" s="11">
        <f>D78*C84</f>
        <v>11.038159048965888</v>
      </c>
    </row>
    <row r="85" spans="1:4" x14ac:dyDescent="0.25">
      <c r="A85" s="2" t="s">
        <v>9</v>
      </c>
      <c r="B85" s="1" t="s">
        <v>82</v>
      </c>
      <c r="C85" s="41">
        <v>2.0000000000000001E-4</v>
      </c>
      <c r="D85" s="11">
        <f>D78*C85</f>
        <v>0.99442874315008001</v>
      </c>
    </row>
    <row r="86" spans="1:4" x14ac:dyDescent="0.25">
      <c r="A86" s="2" t="s">
        <v>11</v>
      </c>
      <c r="B86" s="1" t="s">
        <v>83</v>
      </c>
      <c r="C86" s="41">
        <v>2.7999999999999998E-4</v>
      </c>
      <c r="D86" s="11">
        <f>D78*C86</f>
        <v>1.3922002404101117</v>
      </c>
    </row>
    <row r="87" spans="1:4" x14ac:dyDescent="0.25">
      <c r="A87" s="2"/>
      <c r="B87" s="1" t="s">
        <v>84</v>
      </c>
      <c r="C87" s="41">
        <v>3.5999999999999999E-3</v>
      </c>
      <c r="D87" s="11">
        <f>D78*C87</f>
        <v>17.899717376701439</v>
      </c>
    </row>
    <row r="88" spans="1:4" x14ac:dyDescent="0.25">
      <c r="A88" s="2" t="s">
        <v>14</v>
      </c>
      <c r="B88" s="1" t="s">
        <v>85</v>
      </c>
      <c r="C88" s="41">
        <v>3.8999999999999999E-4</v>
      </c>
      <c r="D88" s="11">
        <f>D78*C88</f>
        <v>1.9391360491426559</v>
      </c>
    </row>
    <row r="89" spans="1:4" x14ac:dyDescent="0.25">
      <c r="A89" s="2" t="s">
        <v>16</v>
      </c>
      <c r="B89" s="1" t="s">
        <v>86</v>
      </c>
      <c r="C89" s="36"/>
      <c r="D89" s="11">
        <f>(($D$25+$D$60+$D$70)-$D$50)*C89</f>
        <v>0</v>
      </c>
    </row>
    <row r="90" spans="1:4" x14ac:dyDescent="0.25">
      <c r="A90" s="14" t="s">
        <v>31</v>
      </c>
      <c r="B90" s="14"/>
      <c r="C90" s="14"/>
      <c r="D90" s="13">
        <f>SUM(D83:D89)</f>
        <v>447.44321298037846</v>
      </c>
    </row>
    <row r="91" spans="1:4" x14ac:dyDescent="0.25">
      <c r="A91" s="142" t="s">
        <v>87</v>
      </c>
      <c r="B91" s="143"/>
      <c r="C91" s="143"/>
      <c r="D91" s="144"/>
    </row>
    <row r="92" spans="1:4" x14ac:dyDescent="0.25">
      <c r="A92" s="14" t="s">
        <v>88</v>
      </c>
      <c r="B92" s="2" t="s">
        <v>89</v>
      </c>
      <c r="C92" s="2"/>
      <c r="D92" s="7" t="s">
        <v>29</v>
      </c>
    </row>
    <row r="93" spans="1:4" x14ac:dyDescent="0.25">
      <c r="A93" s="2" t="s">
        <v>4</v>
      </c>
      <c r="B93" s="2" t="s">
        <v>90</v>
      </c>
      <c r="C93" s="2"/>
      <c r="D93" s="11">
        <v>0</v>
      </c>
    </row>
    <row r="94" spans="1:4" x14ac:dyDescent="0.25">
      <c r="A94" s="14" t="s">
        <v>31</v>
      </c>
      <c r="B94" s="14"/>
      <c r="C94" s="14"/>
      <c r="D94" s="13"/>
    </row>
    <row r="95" spans="1:4" x14ac:dyDescent="0.25">
      <c r="A95" s="17"/>
      <c r="B95" s="17"/>
      <c r="C95" s="17"/>
      <c r="D95" s="17"/>
    </row>
    <row r="96" spans="1:4" x14ac:dyDescent="0.25">
      <c r="A96" s="145" t="s">
        <v>91</v>
      </c>
      <c r="B96" s="146"/>
      <c r="C96" s="146"/>
      <c r="D96" s="147"/>
    </row>
    <row r="97" spans="1:4" x14ac:dyDescent="0.25">
      <c r="A97" s="7">
        <v>4</v>
      </c>
      <c r="B97" s="42" t="s">
        <v>92</v>
      </c>
      <c r="C97" s="43"/>
      <c r="D97" s="7" t="s">
        <v>29</v>
      </c>
    </row>
    <row r="98" spans="1:4" x14ac:dyDescent="0.25">
      <c r="A98" s="1" t="s">
        <v>78</v>
      </c>
      <c r="B98" s="44" t="s">
        <v>79</v>
      </c>
      <c r="C98" s="45"/>
      <c r="D98" s="46">
        <f>D90</f>
        <v>447.44321298037846</v>
      </c>
    </row>
    <row r="99" spans="1:4" x14ac:dyDescent="0.25">
      <c r="A99" s="1" t="s">
        <v>88</v>
      </c>
      <c r="B99" s="44" t="s">
        <v>89</v>
      </c>
      <c r="C99" s="45"/>
      <c r="D99" s="11">
        <f>D94</f>
        <v>0</v>
      </c>
    </row>
    <row r="100" spans="1:4" x14ac:dyDescent="0.25">
      <c r="A100" s="47" t="s">
        <v>31</v>
      </c>
      <c r="B100" s="48"/>
      <c r="C100" s="49"/>
      <c r="D100" s="13">
        <f>SUM(D98:D99)</f>
        <v>447.44321298037846</v>
      </c>
    </row>
    <row r="101" spans="1:4" x14ac:dyDescent="0.25">
      <c r="A101" s="6" t="s">
        <v>32</v>
      </c>
      <c r="B101" s="6"/>
      <c r="C101" s="6"/>
      <c r="D101" s="6"/>
    </row>
    <row r="102" spans="1:4" x14ac:dyDescent="0.25">
      <c r="A102" s="145" t="s">
        <v>93</v>
      </c>
      <c r="B102" s="146"/>
      <c r="C102" s="146"/>
      <c r="D102" s="147"/>
    </row>
    <row r="103" spans="1:4" x14ac:dyDescent="0.25">
      <c r="A103" s="7">
        <v>5</v>
      </c>
      <c r="B103" s="7" t="s">
        <v>94</v>
      </c>
      <c r="C103" s="7"/>
      <c r="D103" s="7" t="s">
        <v>29</v>
      </c>
    </row>
    <row r="104" spans="1:4" x14ac:dyDescent="0.25">
      <c r="A104" s="22" t="s">
        <v>4</v>
      </c>
      <c r="B104" s="50" t="s">
        <v>119</v>
      </c>
      <c r="C104" s="50"/>
      <c r="D104" s="25">
        <v>14.3</v>
      </c>
    </row>
    <row r="105" spans="1:4" x14ac:dyDescent="0.25">
      <c r="A105" s="22"/>
      <c r="B105" s="50"/>
      <c r="C105" s="50"/>
      <c r="D105" s="25">
        <v>0</v>
      </c>
    </row>
    <row r="106" spans="1:4" x14ac:dyDescent="0.25">
      <c r="A106" s="1"/>
      <c r="B106" s="1"/>
      <c r="C106" s="7"/>
      <c r="D106" s="8">
        <v>0</v>
      </c>
    </row>
    <row r="107" spans="1:4" x14ac:dyDescent="0.25">
      <c r="A107" s="7" t="s">
        <v>31</v>
      </c>
      <c r="B107" s="7"/>
      <c r="C107" s="7"/>
      <c r="D107" s="9">
        <f>D104+D106</f>
        <v>14.3</v>
      </c>
    </row>
    <row r="108" spans="1:4" x14ac:dyDescent="0.25">
      <c r="A108" s="148"/>
      <c r="B108" s="148"/>
      <c r="C108" s="148"/>
      <c r="D108" s="148"/>
    </row>
    <row r="109" spans="1:4" x14ac:dyDescent="0.25">
      <c r="A109" s="145" t="s">
        <v>95</v>
      </c>
      <c r="B109" s="146"/>
      <c r="C109" s="146"/>
      <c r="D109" s="147"/>
    </row>
    <row r="110" spans="1:4" x14ac:dyDescent="0.25">
      <c r="A110" s="7">
        <v>6</v>
      </c>
      <c r="B110" s="7" t="s">
        <v>96</v>
      </c>
      <c r="C110" s="7" t="s">
        <v>44</v>
      </c>
      <c r="D110" s="7" t="s">
        <v>29</v>
      </c>
    </row>
    <row r="111" spans="1:4" x14ac:dyDescent="0.25">
      <c r="A111" s="1" t="s">
        <v>4</v>
      </c>
      <c r="B111" s="50" t="s">
        <v>97</v>
      </c>
      <c r="C111" s="51">
        <v>0.05</v>
      </c>
      <c r="D111" s="8">
        <f>C111*D127</f>
        <v>285.77848016101888</v>
      </c>
    </row>
    <row r="112" spans="1:4" x14ac:dyDescent="0.25">
      <c r="A112" s="1" t="s">
        <v>6</v>
      </c>
      <c r="B112" s="50" t="s">
        <v>98</v>
      </c>
      <c r="C112" s="51">
        <v>0.1</v>
      </c>
      <c r="D112" s="8">
        <f>C112*(D111+D127)</f>
        <v>600.13480833813969</v>
      </c>
    </row>
    <row r="113" spans="1:4" x14ac:dyDescent="0.25">
      <c r="A113" s="1" t="s">
        <v>9</v>
      </c>
      <c r="B113" s="50" t="s">
        <v>99</v>
      </c>
      <c r="C113" s="52">
        <v>6.1499999999999999E-2</v>
      </c>
      <c r="D113" s="8">
        <f>(D25+D60+D70+D100+D106+D111+D112)*(C114+C115+C116)/(1-(C114+C115+C116))</f>
        <v>431.65876168433829</v>
      </c>
    </row>
    <row r="114" spans="1:4" x14ac:dyDescent="0.25">
      <c r="A114" s="1"/>
      <c r="B114" s="22" t="s">
        <v>100</v>
      </c>
      <c r="C114" s="52">
        <v>6.4999999999999997E-3</v>
      </c>
      <c r="D114" s="8">
        <f>C114*D129</f>
        <v>45.715420747125179</v>
      </c>
    </row>
    <row r="115" spans="1:4" x14ac:dyDescent="0.25">
      <c r="A115" s="1"/>
      <c r="B115" s="22" t="s">
        <v>101</v>
      </c>
      <c r="C115" s="52">
        <v>0.03</v>
      </c>
      <c r="D115" s="8">
        <f>C115*D129</f>
        <v>210.99424960211621</v>
      </c>
    </row>
    <row r="116" spans="1:4" x14ac:dyDescent="0.25">
      <c r="A116" s="1"/>
      <c r="B116" s="1" t="s">
        <v>102</v>
      </c>
      <c r="C116" s="53">
        <v>2.5000000000000001E-2</v>
      </c>
      <c r="D116" s="8">
        <f>C116*D129</f>
        <v>175.82854133509687</v>
      </c>
    </row>
    <row r="117" spans="1:4" x14ac:dyDescent="0.25">
      <c r="A117" s="7" t="s">
        <v>31</v>
      </c>
      <c r="B117" s="7"/>
      <c r="C117" s="7"/>
      <c r="D117" s="9">
        <f>SUM(D111:D113)</f>
        <v>1317.5720501834969</v>
      </c>
    </row>
    <row r="118" spans="1:4" x14ac:dyDescent="0.25">
      <c r="A118" s="6"/>
      <c r="B118" s="6"/>
      <c r="C118" s="6"/>
      <c r="D118" s="6"/>
    </row>
    <row r="119" spans="1:4" x14ac:dyDescent="0.25">
      <c r="A119" s="134" t="s">
        <v>103</v>
      </c>
      <c r="B119" s="135"/>
      <c r="C119" s="135"/>
      <c r="D119" s="136"/>
    </row>
    <row r="120" spans="1:4" x14ac:dyDescent="0.25">
      <c r="A120" s="6" t="s">
        <v>32</v>
      </c>
      <c r="B120" s="6"/>
      <c r="C120" s="6"/>
      <c r="D120" s="6"/>
    </row>
    <row r="121" spans="1:4" x14ac:dyDescent="0.25">
      <c r="A121" s="1"/>
      <c r="B121" s="7" t="s">
        <v>104</v>
      </c>
      <c r="C121" s="7"/>
      <c r="D121" s="7" t="s">
        <v>29</v>
      </c>
    </row>
    <row r="122" spans="1:4" x14ac:dyDescent="0.25">
      <c r="A122" s="1" t="s">
        <v>4</v>
      </c>
      <c r="B122" s="126" t="s">
        <v>27</v>
      </c>
      <c r="C122" s="127"/>
      <c r="D122" s="8">
        <f>D25</f>
        <v>2975.96</v>
      </c>
    </row>
    <row r="123" spans="1:4" x14ac:dyDescent="0.25">
      <c r="A123" s="1" t="s">
        <v>6</v>
      </c>
      <c r="B123" s="126" t="s">
        <v>72</v>
      </c>
      <c r="C123" s="127"/>
      <c r="D123" s="8">
        <f>D60</f>
        <v>2087.8239654079998</v>
      </c>
    </row>
    <row r="124" spans="1:4" x14ac:dyDescent="0.25">
      <c r="A124" s="1" t="s">
        <v>9</v>
      </c>
      <c r="B124" s="126" t="s">
        <v>74</v>
      </c>
      <c r="C124" s="127"/>
      <c r="D124" s="8">
        <f>D70</f>
        <v>190.04242483199999</v>
      </c>
    </row>
    <row r="125" spans="1:4" x14ac:dyDescent="0.25">
      <c r="A125" s="1" t="s">
        <v>11</v>
      </c>
      <c r="B125" s="126" t="s">
        <v>105</v>
      </c>
      <c r="C125" s="127"/>
      <c r="D125" s="8">
        <f>D100</f>
        <v>447.44321298037846</v>
      </c>
    </row>
    <row r="126" spans="1:4" x14ac:dyDescent="0.25">
      <c r="A126" s="1" t="s">
        <v>14</v>
      </c>
      <c r="B126" s="126" t="s">
        <v>106</v>
      </c>
      <c r="C126" s="127"/>
      <c r="D126" s="8">
        <f>D107</f>
        <v>14.3</v>
      </c>
    </row>
    <row r="127" spans="1:4" x14ac:dyDescent="0.25">
      <c r="A127" s="131" t="s">
        <v>107</v>
      </c>
      <c r="B127" s="132"/>
      <c r="C127" s="133"/>
      <c r="D127" s="9">
        <f>SUM(D122:D126)</f>
        <v>5715.5696032203778</v>
      </c>
    </row>
    <row r="128" spans="1:4" x14ac:dyDescent="0.25">
      <c r="A128" s="1" t="s">
        <v>16</v>
      </c>
      <c r="B128" s="126" t="s">
        <v>108</v>
      </c>
      <c r="C128" s="127"/>
      <c r="D128" s="8">
        <f>D117</f>
        <v>1317.5720501834969</v>
      </c>
    </row>
    <row r="129" spans="1:6" x14ac:dyDescent="0.25">
      <c r="A129" s="128" t="s">
        <v>109</v>
      </c>
      <c r="B129" s="129"/>
      <c r="C129" s="130"/>
      <c r="D129" s="13">
        <f>SUM(D127+D128)</f>
        <v>7033.1416534038744</v>
      </c>
    </row>
    <row r="130" spans="1:6" x14ac:dyDescent="0.25">
      <c r="A130" s="38"/>
      <c r="B130" s="38"/>
      <c r="C130" s="38"/>
      <c r="D130" s="39"/>
    </row>
    <row r="131" spans="1:6" x14ac:dyDescent="0.25">
      <c r="A131" s="38"/>
      <c r="B131" s="38"/>
      <c r="C131" s="14" t="s">
        <v>110</v>
      </c>
      <c r="D131" s="14">
        <v>45</v>
      </c>
    </row>
    <row r="132" spans="1:6" x14ac:dyDescent="0.25">
      <c r="A132" s="6"/>
      <c r="B132" s="6"/>
      <c r="C132" s="2" t="s">
        <v>111</v>
      </c>
      <c r="D132" s="54">
        <f>D131*D129</f>
        <v>316491.37440317433</v>
      </c>
    </row>
    <row r="133" spans="1:6" x14ac:dyDescent="0.25">
      <c r="A133" s="6"/>
      <c r="B133" s="6"/>
      <c r="C133" s="14" t="s">
        <v>112</v>
      </c>
      <c r="D133" s="55">
        <v>12</v>
      </c>
    </row>
    <row r="134" spans="1:6" x14ac:dyDescent="0.25">
      <c r="A134" s="6"/>
      <c r="B134" s="6"/>
      <c r="C134" s="2" t="s">
        <v>113</v>
      </c>
      <c r="D134" s="56">
        <f>D132*D133-0.05</f>
        <v>3797896.4428380923</v>
      </c>
    </row>
    <row r="135" spans="1:6" x14ac:dyDescent="0.25">
      <c r="A135" s="6"/>
      <c r="B135" s="6"/>
      <c r="C135" s="6"/>
      <c r="D135" s="73"/>
    </row>
    <row r="136" spans="1:6" ht="15.75" thickBot="1" x14ac:dyDescent="0.3"/>
    <row r="137" spans="1:6" ht="15.75" thickBot="1" x14ac:dyDescent="0.3">
      <c r="B137" s="64" t="s">
        <v>127</v>
      </c>
      <c r="C137" s="65" t="s">
        <v>121</v>
      </c>
      <c r="D137" s="65" t="s">
        <v>122</v>
      </c>
      <c r="E137" s="65" t="s">
        <v>123</v>
      </c>
      <c r="F137" s="65" t="s">
        <v>124</v>
      </c>
    </row>
    <row r="138" spans="1:6" ht="15.75" thickBot="1" x14ac:dyDescent="0.3">
      <c r="B138" s="66" t="s">
        <v>125</v>
      </c>
      <c r="C138" s="67">
        <v>2</v>
      </c>
      <c r="D138" s="68">
        <v>27.17</v>
      </c>
      <c r="E138" s="68">
        <v>54.34</v>
      </c>
      <c r="F138" s="68">
        <v>4.53</v>
      </c>
    </row>
    <row r="139" spans="1:6" ht="15.75" thickBot="1" x14ac:dyDescent="0.3">
      <c r="B139" s="66" t="s">
        <v>126</v>
      </c>
      <c r="C139" s="67">
        <v>2</v>
      </c>
      <c r="D139" s="68">
        <v>58.64</v>
      </c>
      <c r="E139" s="68">
        <v>117.28</v>
      </c>
      <c r="F139" s="68">
        <v>9.77</v>
      </c>
    </row>
    <row r="140" spans="1:6" ht="15.75" thickBot="1" x14ac:dyDescent="0.3">
      <c r="B140" s="163" t="s">
        <v>136</v>
      </c>
      <c r="C140" s="164"/>
      <c r="D140" s="164"/>
      <c r="E140" s="165"/>
      <c r="F140" s="71">
        <v>14.3</v>
      </c>
    </row>
  </sheetData>
  <mergeCells count="62">
    <mergeCell ref="B140:E140"/>
    <mergeCell ref="B6:C6"/>
    <mergeCell ref="A1:D1"/>
    <mergeCell ref="A2:D2"/>
    <mergeCell ref="A3:C3"/>
    <mergeCell ref="A5:D5"/>
    <mergeCell ref="B18:C18"/>
    <mergeCell ref="B7:C7"/>
    <mergeCell ref="B8:C8"/>
    <mergeCell ref="B9:C9"/>
    <mergeCell ref="B10:C10"/>
    <mergeCell ref="B11:C11"/>
    <mergeCell ref="A12:D12"/>
    <mergeCell ref="A13:D13"/>
    <mergeCell ref="A14:C14"/>
    <mergeCell ref="A15:C15"/>
    <mergeCell ref="A16:D16"/>
    <mergeCell ref="A17:D17"/>
    <mergeCell ref="A35:D35"/>
    <mergeCell ref="B19:C19"/>
    <mergeCell ref="B20:C20"/>
    <mergeCell ref="A22:D22"/>
    <mergeCell ref="B23:C23"/>
    <mergeCell ref="A25:C25"/>
    <mergeCell ref="A27:D27"/>
    <mergeCell ref="A28:D28"/>
    <mergeCell ref="B29:C29"/>
    <mergeCell ref="A32:B32"/>
    <mergeCell ref="A33:B33"/>
    <mergeCell ref="A34:C34"/>
    <mergeCell ref="A60:C60"/>
    <mergeCell ref="A36:D36"/>
    <mergeCell ref="A47:D47"/>
    <mergeCell ref="A48:D48"/>
    <mergeCell ref="B49:C49"/>
    <mergeCell ref="A53:C53"/>
    <mergeCell ref="A54:D54"/>
    <mergeCell ref="A55:D55"/>
    <mergeCell ref="B56:C56"/>
    <mergeCell ref="B57:C57"/>
    <mergeCell ref="B58:C58"/>
    <mergeCell ref="B59:C59"/>
    <mergeCell ref="A119:D119"/>
    <mergeCell ref="A62:D62"/>
    <mergeCell ref="A70:C70"/>
    <mergeCell ref="A72:D72"/>
    <mergeCell ref="A78:C78"/>
    <mergeCell ref="A80:D80"/>
    <mergeCell ref="A81:D81"/>
    <mergeCell ref="A91:D91"/>
    <mergeCell ref="A96:D96"/>
    <mergeCell ref="A102:D102"/>
    <mergeCell ref="A108:D108"/>
    <mergeCell ref="A109:D109"/>
    <mergeCell ref="B128:C128"/>
    <mergeCell ref="A129:C129"/>
    <mergeCell ref="B122:C122"/>
    <mergeCell ref="B123:C123"/>
    <mergeCell ref="B124:C124"/>
    <mergeCell ref="B125:C125"/>
    <mergeCell ref="B126:C126"/>
    <mergeCell ref="A127:C1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/>
  </sheetViews>
  <sheetFormatPr defaultRowHeight="15" x14ac:dyDescent="0.25"/>
  <cols>
    <col min="1" max="1" width="26.140625" customWidth="1"/>
    <col min="2" max="2" width="12.42578125" bestFit="1" customWidth="1"/>
    <col min="3" max="3" width="36.7109375" customWidth="1"/>
    <col min="4" max="4" width="30.7109375" customWidth="1"/>
    <col min="5" max="5" width="34.42578125" customWidth="1"/>
    <col min="6" max="6" width="30.7109375" customWidth="1"/>
    <col min="7" max="7" width="19.140625" customWidth="1"/>
  </cols>
  <sheetData>
    <row r="1" spans="1:7" ht="19.899999999999999" customHeight="1" thickBot="1" x14ac:dyDescent="0.3">
      <c r="A1" s="64" t="s">
        <v>180</v>
      </c>
      <c r="B1" s="65" t="s">
        <v>121</v>
      </c>
      <c r="C1" s="65" t="s">
        <v>130</v>
      </c>
      <c r="D1" s="65" t="s">
        <v>131</v>
      </c>
      <c r="E1" s="65" t="s">
        <v>132</v>
      </c>
      <c r="F1" s="65" t="s">
        <v>133</v>
      </c>
      <c r="G1" s="65" t="s">
        <v>124</v>
      </c>
    </row>
    <row r="2" spans="1:7" ht="19.899999999999999" customHeight="1" thickBot="1" x14ac:dyDescent="0.3">
      <c r="A2" s="66" t="s">
        <v>128</v>
      </c>
      <c r="B2" s="67">
        <v>3</v>
      </c>
      <c r="C2" s="69">
        <v>1050000</v>
      </c>
      <c r="D2" s="69">
        <f>C2*B2</f>
        <v>3150000</v>
      </c>
      <c r="E2" s="68" t="s">
        <v>135</v>
      </c>
      <c r="F2" s="70">
        <v>8.3333000000000001E-3</v>
      </c>
      <c r="G2" s="69">
        <f>D2*F2</f>
        <v>26249.895</v>
      </c>
    </row>
    <row r="3" spans="1:7" ht="19.899999999999999" customHeight="1" thickBot="1" x14ac:dyDescent="0.3">
      <c r="A3" s="66" t="s">
        <v>129</v>
      </c>
      <c r="B3" s="67">
        <v>12</v>
      </c>
      <c r="C3" s="69">
        <v>730000</v>
      </c>
      <c r="D3" s="69">
        <f>C3*B3</f>
        <v>8760000</v>
      </c>
      <c r="E3" s="68" t="s">
        <v>135</v>
      </c>
      <c r="F3" s="70">
        <v>8.3333000000000001E-3</v>
      </c>
      <c r="G3" s="69">
        <f>D3*F3</f>
        <v>72999.707999999999</v>
      </c>
    </row>
    <row r="4" spans="1:7" ht="25.15" customHeight="1" thickBot="1" x14ac:dyDescent="0.3">
      <c r="A4" s="163" t="s">
        <v>134</v>
      </c>
      <c r="B4" s="164"/>
      <c r="C4" s="164"/>
      <c r="D4" s="165"/>
      <c r="E4" s="176">
        <f>G2+G3</f>
        <v>99249.603000000003</v>
      </c>
      <c r="F4" s="177"/>
      <c r="G4" s="178"/>
    </row>
    <row r="5" spans="1:7" ht="19.899999999999999" customHeight="1" thickBot="1" x14ac:dyDescent="0.3"/>
    <row r="6" spans="1:7" ht="19.899999999999999" customHeight="1" thickBot="1" x14ac:dyDescent="0.3">
      <c r="A6" s="86" t="s">
        <v>181</v>
      </c>
      <c r="B6" s="87" t="s">
        <v>121</v>
      </c>
      <c r="C6" s="88" t="s">
        <v>176</v>
      </c>
      <c r="D6" s="65" t="s">
        <v>177</v>
      </c>
    </row>
    <row r="7" spans="1:7" ht="30" customHeight="1" x14ac:dyDescent="0.25">
      <c r="A7" s="108" t="s">
        <v>175</v>
      </c>
      <c r="B7" s="110">
        <v>1</v>
      </c>
      <c r="C7" s="111">
        <v>30000</v>
      </c>
      <c r="D7" s="112">
        <f>C7*12</f>
        <v>360000</v>
      </c>
    </row>
    <row r="8" spans="1:7" ht="30" customHeight="1" thickBot="1" x14ac:dyDescent="0.3">
      <c r="A8" s="109" t="s">
        <v>178</v>
      </c>
      <c r="B8" s="113">
        <v>1</v>
      </c>
      <c r="C8" s="114">
        <v>23500</v>
      </c>
      <c r="D8" s="115">
        <f>C8*12</f>
        <v>282000</v>
      </c>
    </row>
    <row r="9" spans="1:7" ht="30" customHeight="1" thickBot="1" x14ac:dyDescent="0.3">
      <c r="A9" s="179" t="s">
        <v>134</v>
      </c>
      <c r="B9" s="180"/>
      <c r="C9" s="119">
        <f>SUM(C7:C8)</f>
        <v>53500</v>
      </c>
      <c r="D9" s="120">
        <f>SUM(D7:D8)</f>
        <v>642000</v>
      </c>
    </row>
    <row r="10" spans="1:7" x14ac:dyDescent="0.25">
      <c r="A10" s="116"/>
      <c r="B10" s="116"/>
      <c r="C10" s="116"/>
      <c r="D10" s="116"/>
    </row>
    <row r="11" spans="1:7" x14ac:dyDescent="0.25">
      <c r="A11" s="116"/>
      <c r="B11" s="116"/>
      <c r="C11" s="116"/>
      <c r="D11" s="116"/>
    </row>
    <row r="12" spans="1:7" ht="15.75" thickBot="1" x14ac:dyDescent="0.3">
      <c r="A12" s="116"/>
      <c r="B12" s="116"/>
      <c r="C12" s="116"/>
      <c r="D12" s="116"/>
    </row>
    <row r="13" spans="1:7" ht="16.5" thickBot="1" x14ac:dyDescent="0.3">
      <c r="A13" s="116"/>
      <c r="B13" s="116"/>
      <c r="C13" s="117" t="s">
        <v>179</v>
      </c>
      <c r="D13" s="118">
        <f>C9+E4</f>
        <v>152749.603</v>
      </c>
    </row>
    <row r="14" spans="1:7" x14ac:dyDescent="0.25">
      <c r="A14" s="116"/>
      <c r="B14" s="116"/>
      <c r="C14" s="116"/>
      <c r="D14" s="116"/>
    </row>
    <row r="15" spans="1:7" x14ac:dyDescent="0.25">
      <c r="A15" s="116"/>
      <c r="B15" s="116"/>
      <c r="C15" s="116"/>
      <c r="D15" s="116"/>
    </row>
  </sheetData>
  <mergeCells count="3">
    <mergeCell ref="A4:D4"/>
    <mergeCell ref="E4:G4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/>
  </sheetViews>
  <sheetFormatPr defaultRowHeight="15" x14ac:dyDescent="0.25"/>
  <cols>
    <col min="1" max="1" width="18.5703125" customWidth="1"/>
    <col min="2" max="2" width="21.140625" customWidth="1"/>
    <col min="3" max="3" width="32.5703125" bestFit="1" customWidth="1"/>
    <col min="4" max="4" width="22.42578125" customWidth="1"/>
    <col min="5" max="5" width="26" bestFit="1" customWidth="1"/>
    <col min="6" max="6" width="23.7109375" customWidth="1"/>
  </cols>
  <sheetData>
    <row r="1" spans="1:6" ht="15.75" thickBot="1" x14ac:dyDescent="0.3">
      <c r="A1" s="64" t="s">
        <v>137</v>
      </c>
      <c r="B1" s="65" t="s">
        <v>138</v>
      </c>
      <c r="C1" s="65" t="s">
        <v>139</v>
      </c>
      <c r="D1" s="65" t="s">
        <v>122</v>
      </c>
      <c r="E1" s="65" t="s">
        <v>146</v>
      </c>
      <c r="F1" s="65" t="s">
        <v>124</v>
      </c>
    </row>
    <row r="2" spans="1:6" ht="15.75" thickBot="1" x14ac:dyDescent="0.3">
      <c r="A2" s="66" t="s">
        <v>128</v>
      </c>
      <c r="B2" s="67" t="s">
        <v>150</v>
      </c>
      <c r="C2" s="72" t="s">
        <v>140</v>
      </c>
      <c r="D2" s="69">
        <v>6.34</v>
      </c>
      <c r="E2" s="72">
        <f>35334.5/2</f>
        <v>17667.25</v>
      </c>
      <c r="F2" s="69">
        <f>E2*D2</f>
        <v>112010.36499999999</v>
      </c>
    </row>
    <row r="3" spans="1:6" ht="15.75" thickBot="1" x14ac:dyDescent="0.3">
      <c r="A3" s="66" t="s">
        <v>129</v>
      </c>
      <c r="B3" s="67" t="s">
        <v>151</v>
      </c>
      <c r="C3" s="72" t="s">
        <v>140</v>
      </c>
      <c r="D3" s="69">
        <v>6.34</v>
      </c>
      <c r="E3" s="72">
        <f>35334.5/4</f>
        <v>8833.625</v>
      </c>
      <c r="F3" s="69">
        <f>E3*D3</f>
        <v>56005.182499999995</v>
      </c>
    </row>
    <row r="4" spans="1:6" ht="15.75" thickBot="1" x14ac:dyDescent="0.3">
      <c r="A4" s="163" t="s">
        <v>136</v>
      </c>
      <c r="B4" s="164"/>
      <c r="C4" s="164"/>
      <c r="D4" s="164"/>
      <c r="E4" s="165"/>
      <c r="F4" s="71">
        <f>F2+F3</f>
        <v>168015.54749999999</v>
      </c>
    </row>
    <row r="5" spans="1:6" x14ac:dyDescent="0.25">
      <c r="A5" s="74" t="s">
        <v>149</v>
      </c>
    </row>
  </sheetData>
  <mergeCells count="1">
    <mergeCell ref="A4:E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zoomScale="110" zoomScaleNormal="110" workbookViewId="0">
      <selection sqref="A1:C1"/>
    </sheetView>
  </sheetViews>
  <sheetFormatPr defaultRowHeight="15" x14ac:dyDescent="0.25"/>
  <cols>
    <col min="1" max="1" width="23.7109375" customWidth="1"/>
    <col min="2" max="2" width="50.28515625" customWidth="1"/>
    <col min="3" max="3" width="22.28515625" customWidth="1"/>
    <col min="4" max="4" width="28.85546875" bestFit="1" customWidth="1"/>
    <col min="5" max="5" width="14.5703125" bestFit="1" customWidth="1"/>
    <col min="6" max="6" width="13.85546875" bestFit="1" customWidth="1"/>
    <col min="7" max="7" width="14.5703125" bestFit="1" customWidth="1"/>
  </cols>
  <sheetData>
    <row r="1" spans="1:3" ht="15.75" thickBot="1" x14ac:dyDescent="0.3">
      <c r="A1" s="181" t="s">
        <v>184</v>
      </c>
      <c r="B1" s="182"/>
      <c r="C1" s="183"/>
    </row>
    <row r="2" spans="1:3" ht="15.75" thickBot="1" x14ac:dyDescent="0.3">
      <c r="A2" s="93" t="s">
        <v>152</v>
      </c>
      <c r="B2" s="94" t="s">
        <v>153</v>
      </c>
      <c r="C2" s="95" t="s">
        <v>183</v>
      </c>
    </row>
    <row r="3" spans="1:3" ht="34.15" customHeight="1" x14ac:dyDescent="0.25">
      <c r="A3" s="96" t="s">
        <v>163</v>
      </c>
      <c r="B3" s="92"/>
      <c r="C3" s="97">
        <v>18731.849999999999</v>
      </c>
    </row>
    <row r="4" spans="1:3" ht="30" customHeight="1" x14ac:dyDescent="0.25">
      <c r="A4" s="98" t="s">
        <v>154</v>
      </c>
      <c r="B4" s="89" t="s">
        <v>186</v>
      </c>
      <c r="C4" s="99">
        <v>11830</v>
      </c>
    </row>
    <row r="5" spans="1:3" ht="34.9" customHeight="1" x14ac:dyDescent="0.25">
      <c r="A5" s="98" t="s">
        <v>155</v>
      </c>
      <c r="B5" s="90" t="s">
        <v>156</v>
      </c>
      <c r="C5" s="99">
        <v>2250</v>
      </c>
    </row>
    <row r="6" spans="1:3" ht="30" customHeight="1" x14ac:dyDescent="0.25">
      <c r="A6" s="98" t="s">
        <v>182</v>
      </c>
      <c r="B6" s="90"/>
      <c r="C6" s="99">
        <v>4150</v>
      </c>
    </row>
    <row r="7" spans="1:3" ht="30" customHeight="1" x14ac:dyDescent="0.25">
      <c r="A7" s="98" t="s">
        <v>157</v>
      </c>
      <c r="B7" s="91"/>
      <c r="C7" s="99">
        <v>27000</v>
      </c>
    </row>
    <row r="8" spans="1:3" ht="30" customHeight="1" x14ac:dyDescent="0.25">
      <c r="A8" s="98" t="s">
        <v>164</v>
      </c>
      <c r="B8" s="90"/>
      <c r="C8" s="99">
        <v>13250</v>
      </c>
    </row>
    <row r="9" spans="1:3" ht="30" customHeight="1" x14ac:dyDescent="0.25">
      <c r="A9" s="98" t="s">
        <v>173</v>
      </c>
      <c r="B9" s="90"/>
      <c r="C9" s="99">
        <v>3160.34</v>
      </c>
    </row>
    <row r="10" spans="1:3" ht="30" customHeight="1" x14ac:dyDescent="0.25">
      <c r="A10" s="98" t="s">
        <v>165</v>
      </c>
      <c r="B10" s="90"/>
      <c r="C10" s="99">
        <v>10812.2</v>
      </c>
    </row>
    <row r="11" spans="1:3" ht="34.15" customHeight="1" x14ac:dyDescent="0.25">
      <c r="A11" s="98" t="s">
        <v>166</v>
      </c>
      <c r="B11" s="90" t="s">
        <v>167</v>
      </c>
      <c r="C11" s="99">
        <v>185000</v>
      </c>
    </row>
    <row r="12" spans="1:3" ht="30" customHeight="1" x14ac:dyDescent="0.25">
      <c r="A12" s="98" t="s">
        <v>174</v>
      </c>
      <c r="B12" s="90"/>
      <c r="C12" s="99">
        <v>30000</v>
      </c>
    </row>
    <row r="13" spans="1:3" ht="30" customHeight="1" x14ac:dyDescent="0.25">
      <c r="A13" s="100" t="s">
        <v>159</v>
      </c>
      <c r="B13" s="83" t="s">
        <v>169</v>
      </c>
      <c r="C13" s="101">
        <v>260206.2</v>
      </c>
    </row>
    <row r="14" spans="1:3" ht="30" customHeight="1" x14ac:dyDescent="0.25">
      <c r="A14" s="98" t="s">
        <v>160</v>
      </c>
      <c r="B14" s="83" t="s">
        <v>170</v>
      </c>
      <c r="C14" s="101">
        <v>58030</v>
      </c>
    </row>
    <row r="15" spans="1:3" ht="30" customHeight="1" x14ac:dyDescent="0.25">
      <c r="A15" s="98" t="s">
        <v>168</v>
      </c>
      <c r="B15" s="83" t="s">
        <v>161</v>
      </c>
      <c r="C15" s="101">
        <v>27685</v>
      </c>
    </row>
    <row r="16" spans="1:3" ht="30" customHeight="1" thickBot="1" x14ac:dyDescent="0.3">
      <c r="A16" s="102" t="s">
        <v>162</v>
      </c>
      <c r="B16" s="103" t="s">
        <v>171</v>
      </c>
      <c r="C16" s="104">
        <v>24374.6</v>
      </c>
    </row>
    <row r="17" spans="1:3" ht="30" customHeight="1" thickBot="1" x14ac:dyDescent="0.3">
      <c r="A17" s="105" t="s">
        <v>172</v>
      </c>
      <c r="B17" s="106" t="s">
        <v>158</v>
      </c>
      <c r="C17" s="107">
        <f>SUM(C3:C16)</f>
        <v>676480.19000000006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9.140625" defaultRowHeight="15" x14ac:dyDescent="0.25"/>
  <cols>
    <col min="1" max="1" width="23.28515625" style="77" customWidth="1"/>
    <col min="2" max="2" width="25.42578125" style="77" customWidth="1"/>
    <col min="3" max="3" width="31.5703125" style="77" bestFit="1" customWidth="1"/>
    <col min="4" max="4" width="37" style="77" bestFit="1" customWidth="1"/>
    <col min="5" max="16384" width="9.140625" style="77"/>
  </cols>
  <sheetData>
    <row r="1" spans="1:4" ht="15.75" thickBot="1" x14ac:dyDescent="0.3">
      <c r="A1" s="75" t="s">
        <v>141</v>
      </c>
      <c r="B1" s="76" t="s">
        <v>145</v>
      </c>
      <c r="C1" s="76" t="s">
        <v>147</v>
      </c>
      <c r="D1" s="76" t="s">
        <v>148</v>
      </c>
    </row>
    <row r="2" spans="1:4" ht="15.75" thickBot="1" x14ac:dyDescent="0.3">
      <c r="A2" s="78" t="s">
        <v>142</v>
      </c>
      <c r="B2" s="122">
        <f>'Mão de obra'!D132</f>
        <v>316491.37440317433</v>
      </c>
      <c r="C2" s="121">
        <f>'Mão de obra'!D134</f>
        <v>3797896.4428380923</v>
      </c>
      <c r="D2" s="79"/>
    </row>
    <row r="3" spans="1:4" ht="15.75" thickBot="1" x14ac:dyDescent="0.3">
      <c r="A3" s="78" t="s">
        <v>143</v>
      </c>
      <c r="B3" s="123">
        <f>Equipamentos!D13</f>
        <v>152749.603</v>
      </c>
      <c r="C3" s="121">
        <f>B3*12-0.04</f>
        <v>1832995.196</v>
      </c>
      <c r="D3" s="79"/>
    </row>
    <row r="4" spans="1:4" ht="15.75" thickBot="1" x14ac:dyDescent="0.3">
      <c r="A4" s="84" t="s">
        <v>144</v>
      </c>
      <c r="B4" s="124">
        <f>Combustível!F4</f>
        <v>168015.54749999999</v>
      </c>
      <c r="C4" s="121">
        <f>B4*12+0.03</f>
        <v>2016186.5999999999</v>
      </c>
      <c r="D4" s="79"/>
    </row>
    <row r="5" spans="1:4" ht="15.75" thickBot="1" x14ac:dyDescent="0.3">
      <c r="A5" s="85" t="s">
        <v>185</v>
      </c>
      <c r="B5" s="125">
        <f>'Despesas Operacionais'!C17</f>
        <v>676480.19000000006</v>
      </c>
      <c r="C5" s="121">
        <f>B5*12</f>
        <v>8117762.2800000012</v>
      </c>
      <c r="D5" s="79"/>
    </row>
    <row r="6" spans="1:4" ht="15.75" thickBot="1" x14ac:dyDescent="0.3">
      <c r="A6" s="184" t="s">
        <v>134</v>
      </c>
      <c r="B6" s="185"/>
      <c r="C6" s="80">
        <f>C2+C3+C4+C5</f>
        <v>15764840.518838093</v>
      </c>
      <c r="D6" s="81"/>
    </row>
    <row r="15" spans="1:4" x14ac:dyDescent="0.25">
      <c r="C15" s="82"/>
    </row>
  </sheetData>
  <mergeCells count="1">
    <mergeCell ref="A6:B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Mão de obra</vt:lpstr>
      <vt:lpstr>Equipamentos</vt:lpstr>
      <vt:lpstr>Combustível</vt:lpstr>
      <vt:lpstr>Despesas Operacionais</vt:lpstr>
      <vt:lpstr>Consolidação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Henrique Cabette da Silva</dc:creator>
  <cp:lastModifiedBy>Renato Fogar Lopes Fogar</cp:lastModifiedBy>
  <dcterms:created xsi:type="dcterms:W3CDTF">2024-09-24T18:40:26Z</dcterms:created>
  <dcterms:modified xsi:type="dcterms:W3CDTF">2024-10-04T16:14:37Z</dcterms:modified>
</cp:coreProperties>
</file>