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A:\DOCUMENTOS DANIEL\DOCUMENTOS DANIEL\EDITAIS\EDITAIS 2025\UPA DA BARRA\"/>
    </mc:Choice>
  </mc:AlternateContent>
  <xr:revisionPtr revIDLastSave="0" documentId="8_{4ED58AC7-6DA1-4A24-94D1-5BCD8543E446}" xr6:coauthVersionLast="47" xr6:coauthVersionMax="47" xr10:uidLastSave="{00000000-0000-0000-0000-000000000000}"/>
  <bookViews>
    <workbookView xWindow="-120" yWindow="-120" windowWidth="29040" windowHeight="15720" xr2:uid="{00000000-000D-0000-FFFF-FFFF00000000}"/>
  </bookViews>
  <sheets>
    <sheet name="RESUMO" sheetId="20" r:id="rId1"/>
    <sheet name="PEDIATRA" sheetId="18" r:id="rId2"/>
    <sheet name="CLÍNICO GERAL" sheetId="19" r:id="rId3"/>
    <sheet name="ENFERMEIRO RT" sheetId="13" r:id="rId4"/>
    <sheet name="ENFERMEIRO DIURNO" sheetId="17" r:id="rId5"/>
    <sheet name="ENFERMEIRO NOTURNO" sheetId="16" r:id="rId6"/>
    <sheet name="ASSISTENTE SOCIAL" sheetId="29" r:id="rId7"/>
    <sheet name="FARMACÊUTICO" sheetId="15" r:id="rId8"/>
    <sheet name="TÉCNICO ENFERMAGEM CME" sheetId="28" r:id="rId9"/>
    <sheet name="TÉCNICO ENFERMAGEM DIURNO" sheetId="10" r:id="rId10"/>
    <sheet name="TÉCNICO ENFERMAGEM NOTURNO" sheetId="12" r:id="rId11"/>
    <sheet name="TÉCNICO RADIOLOGIA" sheetId="21" r:id="rId12"/>
    <sheet name="TÉCNICO RADIOLOGIA NOTURNO" sheetId="22" r:id="rId13"/>
    <sheet name="TÉCNICO SEGURANÇA DO TRABALHO" sheetId="23" r:id="rId14"/>
    <sheet name="ADMINISTRATIVO" sheetId="4" r:id="rId15"/>
    <sheet name="RECEPCIONISTA" sheetId="24" r:id="rId16"/>
    <sheet name="RECEPCIONISTA NOTURNO" sheetId="25" r:id="rId17"/>
    <sheet name="VIGIA" sheetId="7" r:id="rId18"/>
    <sheet name="VIGIA NOTURNO" sheetId="26" r:id="rId19"/>
    <sheet name="SERVIÇOS GERAIS" sheetId="1" r:id="rId20"/>
    <sheet name="SERVIÇOS GERAIS NOTURNO" sheetId="27" r:id="rId21"/>
    <sheet name="UNIFORMES - EPI - SERVENTE" sheetId="5" r:id="rId22"/>
    <sheet name="Planilha1" sheetId="8" state="hidden" r:id="rId23"/>
    <sheet name="UNIFORME - EPI - ADM" sheetId="6" r:id="rId24"/>
    <sheet name="UNIFORME - EPI - ENF." sheetId="11" r:id="rId25"/>
    <sheet name="UNIFORME - EPI - VIGIA" sheetId="9" r:id="rId26"/>
    <sheet name="UNIFORME - EPI - ASSISTENTE SOC" sheetId="30" r:id="rId27"/>
    <sheet name="UNIFORME - SERVIÇOS GERAIS" sheetId="31" r:id="rId28"/>
    <sheet name="MÉDIAS" sheetId="2" state="hidden" r:id="rId29"/>
    <sheet name="Plan1" sheetId="3" state="hidden" r:id="rId30"/>
  </sheets>
  <definedNames>
    <definedName name="_ftn1" localSheetId="23">'UNIFORME - EPI - ADM'!#REF!</definedName>
    <definedName name="_ftnref1" localSheetId="23">'UNIFORME - EPI - ADM'!#REF!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1" l="1"/>
  <c r="E14" i="31"/>
  <c r="E13" i="31"/>
  <c r="E12" i="31"/>
  <c r="E11" i="31"/>
  <c r="E10" i="31"/>
  <c r="E9" i="31"/>
  <c r="E8" i="31"/>
  <c r="E7" i="31"/>
  <c r="E6" i="31"/>
  <c r="E5" i="31"/>
  <c r="E16" i="31" s="1"/>
  <c r="E17" i="31" s="1"/>
  <c r="G16" i="20"/>
  <c r="G9" i="20"/>
  <c r="G6" i="20"/>
  <c r="G18" i="20"/>
  <c r="D22" i="19"/>
  <c r="E17" i="5"/>
  <c r="E5" i="5"/>
  <c r="E6" i="5"/>
  <c r="E7" i="5"/>
  <c r="E8" i="5"/>
  <c r="E9" i="5"/>
  <c r="E10" i="5"/>
  <c r="E11" i="5"/>
  <c r="E12" i="5"/>
  <c r="E13" i="5"/>
  <c r="E14" i="5"/>
  <c r="E15" i="5"/>
  <c r="E6" i="6"/>
  <c r="E7" i="6"/>
  <c r="E8" i="6"/>
  <c r="E9" i="6"/>
  <c r="E10" i="6"/>
  <c r="E11" i="6"/>
  <c r="E5" i="6"/>
  <c r="E4" i="11"/>
  <c r="E5" i="11"/>
  <c r="E6" i="11"/>
  <c r="E7" i="11"/>
  <c r="E8" i="11"/>
  <c r="E9" i="11"/>
  <c r="E10" i="11"/>
  <c r="E11" i="11"/>
  <c r="E12" i="11"/>
  <c r="E18" i="9"/>
  <c r="E17" i="9"/>
  <c r="E13" i="9"/>
  <c r="E12" i="9"/>
  <c r="E6" i="9"/>
  <c r="E7" i="9"/>
  <c r="E8" i="9"/>
  <c r="E9" i="9"/>
  <c r="E10" i="9"/>
  <c r="E11" i="9"/>
  <c r="E14" i="9"/>
  <c r="E15" i="9"/>
  <c r="E16" i="9"/>
  <c r="E5" i="9"/>
  <c r="E6" i="30"/>
  <c r="E7" i="30"/>
  <c r="E8" i="30"/>
  <c r="E9" i="30"/>
  <c r="E5" i="30"/>
  <c r="D24" i="20"/>
  <c r="G23" i="20"/>
  <c r="H23" i="20" s="1"/>
  <c r="G22" i="20"/>
  <c r="H22" i="20" s="1"/>
  <c r="G21" i="20"/>
  <c r="H21" i="20" s="1"/>
  <c r="G20" i="20"/>
  <c r="H20" i="20" s="1"/>
  <c r="G19" i="20"/>
  <c r="H19" i="20" s="1"/>
  <c r="H18" i="20"/>
  <c r="G17" i="20"/>
  <c r="H17" i="20" s="1"/>
  <c r="H16" i="20"/>
  <c r="G15" i="20"/>
  <c r="H15" i="20" s="1"/>
  <c r="G14" i="20"/>
  <c r="H14" i="20" s="1"/>
  <c r="G13" i="20"/>
  <c r="H13" i="20" s="1"/>
  <c r="G12" i="20"/>
  <c r="H12" i="20" s="1"/>
  <c r="G11" i="20"/>
  <c r="H11" i="20" s="1"/>
  <c r="H10" i="20"/>
  <c r="G10" i="20"/>
  <c r="H9" i="20"/>
  <c r="G8" i="20"/>
  <c r="H8" i="20" s="1"/>
  <c r="G7" i="20"/>
  <c r="H7" i="20" s="1"/>
  <c r="H6" i="20"/>
  <c r="G5" i="20"/>
  <c r="H5" i="20" s="1"/>
  <c r="G4" i="20"/>
  <c r="H4" i="20" s="1"/>
  <c r="D58" i="7"/>
  <c r="D60" i="26"/>
  <c r="D60" i="27"/>
  <c r="D60" i="25"/>
  <c r="D22" i="18"/>
  <c r="D128" i="18"/>
  <c r="C117" i="18"/>
  <c r="D111" i="18"/>
  <c r="D130" i="18" s="1"/>
  <c r="D104" i="18"/>
  <c r="D82" i="18"/>
  <c r="D75" i="18"/>
  <c r="D81" i="18" s="1"/>
  <c r="D58" i="18"/>
  <c r="D64" i="18" s="1"/>
  <c r="D47" i="18"/>
  <c r="D63" i="18" s="1"/>
  <c r="C47" i="18"/>
  <c r="D34" i="18"/>
  <c r="D35" i="18" s="1"/>
  <c r="D62" i="18" s="1"/>
  <c r="C34" i="18"/>
  <c r="C33" i="18"/>
  <c r="D25" i="18"/>
  <c r="D24" i="18"/>
  <c r="D53" i="29"/>
  <c r="D52" i="29"/>
  <c r="C114" i="29"/>
  <c r="D108" i="29"/>
  <c r="D127" i="29" s="1"/>
  <c r="D101" i="29"/>
  <c r="C48" i="29"/>
  <c r="C35" i="29"/>
  <c r="C34" i="29"/>
  <c r="D27" i="29"/>
  <c r="D47" i="29" s="1"/>
  <c r="D26" i="29"/>
  <c r="D25" i="29"/>
  <c r="D24" i="29"/>
  <c r="D23" i="29"/>
  <c r="C114" i="28"/>
  <c r="D108" i="28"/>
  <c r="D127" i="28" s="1"/>
  <c r="D101" i="28"/>
  <c r="D79" i="28"/>
  <c r="D53" i="28"/>
  <c r="D52" i="28"/>
  <c r="D55" i="28" s="1"/>
  <c r="D61" i="28" s="1"/>
  <c r="C48" i="28"/>
  <c r="C35" i="28"/>
  <c r="C34" i="28"/>
  <c r="D26" i="28"/>
  <c r="D25" i="28"/>
  <c r="D24" i="28"/>
  <c r="D23" i="28"/>
  <c r="D27" i="28" s="1"/>
  <c r="D68" i="21"/>
  <c r="D51" i="13"/>
  <c r="D51" i="21"/>
  <c r="D51" i="22"/>
  <c r="D53" i="4"/>
  <c r="D52" i="4"/>
  <c r="D52" i="13"/>
  <c r="D25" i="13"/>
  <c r="D51" i="17"/>
  <c r="D53" i="16"/>
  <c r="C28" i="27"/>
  <c r="C28" i="25"/>
  <c r="D55" i="26"/>
  <c r="D53" i="7"/>
  <c r="D58" i="15"/>
  <c r="D53" i="15"/>
  <c r="D26" i="15"/>
  <c r="D25" i="15"/>
  <c r="C114" i="10"/>
  <c r="D108" i="10"/>
  <c r="D127" i="10" s="1"/>
  <c r="D101" i="10"/>
  <c r="D79" i="10"/>
  <c r="D53" i="10"/>
  <c r="D52" i="10"/>
  <c r="D55" i="10" s="1"/>
  <c r="D61" i="10" s="1"/>
  <c r="C48" i="10"/>
  <c r="C35" i="10"/>
  <c r="C34" i="10"/>
  <c r="D26" i="10"/>
  <c r="D25" i="10"/>
  <c r="D27" i="10" s="1"/>
  <c r="D24" i="10"/>
  <c r="D23" i="10"/>
  <c r="D53" i="12"/>
  <c r="C114" i="21"/>
  <c r="D108" i="21"/>
  <c r="D127" i="21" s="1"/>
  <c r="D101" i="21"/>
  <c r="D52" i="21"/>
  <c r="C47" i="21"/>
  <c r="C34" i="21"/>
  <c r="C33" i="21"/>
  <c r="D23" i="21"/>
  <c r="D52" i="22"/>
  <c r="D51" i="23"/>
  <c r="D53" i="22"/>
  <c r="D23" i="22"/>
  <c r="D50" i="23"/>
  <c r="D53" i="24"/>
  <c r="D55" i="25"/>
  <c r="D53" i="1"/>
  <c r="D52" i="1"/>
  <c r="D54" i="27"/>
  <c r="D55" i="27"/>
  <c r="D26" i="18" l="1"/>
  <c r="D78" i="18" s="1"/>
  <c r="E10" i="30"/>
  <c r="E11" i="30" s="1"/>
  <c r="D65" i="18"/>
  <c r="D55" i="29"/>
  <c r="D61" i="29" s="1"/>
  <c r="D45" i="29"/>
  <c r="D70" i="29"/>
  <c r="D79" i="29"/>
  <c r="D40" i="29"/>
  <c r="D32" i="29"/>
  <c r="D43" i="29"/>
  <c r="D44" i="29"/>
  <c r="D69" i="29"/>
  <c r="D46" i="29"/>
  <c r="D75" i="29"/>
  <c r="D41" i="29"/>
  <c r="D66" i="29"/>
  <c r="D33" i="29"/>
  <c r="D42" i="29"/>
  <c r="D67" i="29"/>
  <c r="D123" i="29"/>
  <c r="D69" i="28"/>
  <c r="D123" i="28"/>
  <c r="D43" i="28"/>
  <c r="D67" i="28"/>
  <c r="D42" i="28"/>
  <c r="D33" i="28"/>
  <c r="D66" i="28"/>
  <c r="D41" i="28"/>
  <c r="D32" i="28"/>
  <c r="D75" i="28"/>
  <c r="D40" i="28"/>
  <c r="D47" i="28"/>
  <c r="D46" i="28"/>
  <c r="D70" i="28"/>
  <c r="D45" i="28"/>
  <c r="D44" i="28"/>
  <c r="D69" i="10"/>
  <c r="D123" i="10"/>
  <c r="D43" i="10"/>
  <c r="D40" i="10"/>
  <c r="D44" i="10"/>
  <c r="D67" i="10"/>
  <c r="D42" i="10"/>
  <c r="D33" i="10"/>
  <c r="D47" i="10"/>
  <c r="D46" i="10"/>
  <c r="D70" i="10"/>
  <c r="D66" i="10"/>
  <c r="D41" i="10"/>
  <c r="D32" i="10"/>
  <c r="D75" i="10"/>
  <c r="D45" i="10"/>
  <c r="D24" i="21"/>
  <c r="D26" i="21" s="1"/>
  <c r="D79" i="21"/>
  <c r="D53" i="21"/>
  <c r="D55" i="21" s="1"/>
  <c r="D61" i="21" s="1"/>
  <c r="G24" i="20"/>
  <c r="D114" i="27"/>
  <c r="D133" i="27" s="1"/>
  <c r="D107" i="27"/>
  <c r="C50" i="27"/>
  <c r="C37" i="27"/>
  <c r="C36" i="27"/>
  <c r="D25" i="27"/>
  <c r="D25" i="1"/>
  <c r="D114" i="26"/>
  <c r="D133" i="26" s="1"/>
  <c r="D107" i="26"/>
  <c r="C50" i="26"/>
  <c r="C37" i="26"/>
  <c r="C36" i="26"/>
  <c r="D25" i="26"/>
  <c r="D26" i="26" s="1"/>
  <c r="D25" i="7"/>
  <c r="D52" i="7" s="1"/>
  <c r="D114" i="25"/>
  <c r="D133" i="25" s="1"/>
  <c r="D107" i="25"/>
  <c r="C50" i="25"/>
  <c r="C37" i="25"/>
  <c r="C36" i="25"/>
  <c r="D25" i="25"/>
  <c r="D112" i="24"/>
  <c r="D131" i="24" s="1"/>
  <c r="D105" i="24"/>
  <c r="C48" i="24"/>
  <c r="C35" i="24"/>
  <c r="C34" i="24"/>
  <c r="D25" i="24"/>
  <c r="D52" i="24" s="1"/>
  <c r="D25" i="4"/>
  <c r="C112" i="23"/>
  <c r="D106" i="23"/>
  <c r="D125" i="23" s="1"/>
  <c r="D99" i="23"/>
  <c r="C46" i="23"/>
  <c r="C33" i="23"/>
  <c r="C32" i="23"/>
  <c r="D24" i="23"/>
  <c r="C114" i="22"/>
  <c r="D108" i="22"/>
  <c r="D127" i="22" s="1"/>
  <c r="D101" i="22"/>
  <c r="C47" i="22"/>
  <c r="C34" i="22"/>
  <c r="C33" i="22"/>
  <c r="C114" i="12"/>
  <c r="D108" i="12"/>
  <c r="D127" i="12" s="1"/>
  <c r="D101" i="12"/>
  <c r="D52" i="12"/>
  <c r="C48" i="12"/>
  <c r="C35" i="12"/>
  <c r="C34" i="12"/>
  <c r="D24" i="12"/>
  <c r="C26" i="12" s="1"/>
  <c r="D26" i="12" s="1"/>
  <c r="D23" i="12"/>
  <c r="C114" i="16"/>
  <c r="C112" i="17"/>
  <c r="C113" i="13"/>
  <c r="C118" i="15"/>
  <c r="D83" i="15"/>
  <c r="D112" i="15"/>
  <c r="D131" i="15" s="1"/>
  <c r="D105" i="15"/>
  <c r="C48" i="15"/>
  <c r="C35" i="15"/>
  <c r="C34" i="15"/>
  <c r="D27" i="15"/>
  <c r="D126" i="18" l="1"/>
  <c r="E12" i="6"/>
  <c r="D127" i="18"/>
  <c r="D79" i="18"/>
  <c r="D94" i="18"/>
  <c r="D95" i="18" s="1"/>
  <c r="D103" i="18" s="1"/>
  <c r="D105" i="18" s="1"/>
  <c r="D129" i="18" s="1"/>
  <c r="D83" i="18"/>
  <c r="C80" i="18"/>
  <c r="D34" i="29"/>
  <c r="D48" i="29"/>
  <c r="D60" i="29" s="1"/>
  <c r="C77" i="29"/>
  <c r="D77" i="29" s="1"/>
  <c r="D48" i="28"/>
  <c r="D60" i="28" s="1"/>
  <c r="C77" i="28"/>
  <c r="D77" i="28" s="1"/>
  <c r="D34" i="28"/>
  <c r="D48" i="10"/>
  <c r="D60" i="10" s="1"/>
  <c r="C77" i="10"/>
  <c r="D77" i="10" s="1"/>
  <c r="D34" i="10"/>
  <c r="D39" i="21"/>
  <c r="D123" i="21"/>
  <c r="D67" i="21"/>
  <c r="D66" i="21"/>
  <c r="D41" i="21"/>
  <c r="D32" i="21"/>
  <c r="D31" i="21"/>
  <c r="D46" i="21"/>
  <c r="D42" i="21"/>
  <c r="D75" i="21"/>
  <c r="D40" i="21"/>
  <c r="D70" i="21"/>
  <c r="D45" i="21"/>
  <c r="D69" i="21"/>
  <c r="D44" i="21"/>
  <c r="D43" i="21"/>
  <c r="C27" i="26"/>
  <c r="D59" i="15"/>
  <c r="D65" i="15" s="1"/>
  <c r="D26" i="27"/>
  <c r="C27" i="27" s="1"/>
  <c r="D28" i="27" s="1"/>
  <c r="D54" i="26"/>
  <c r="D54" i="25"/>
  <c r="D26" i="25"/>
  <c r="C27" i="25" s="1"/>
  <c r="D26" i="24"/>
  <c r="D27" i="24" s="1"/>
  <c r="D53" i="23"/>
  <c r="D59" i="23" s="1"/>
  <c r="D25" i="23"/>
  <c r="D73" i="23" s="1"/>
  <c r="D77" i="23"/>
  <c r="D55" i="22"/>
  <c r="D61" i="22" s="1"/>
  <c r="D79" i="22"/>
  <c r="D24" i="22"/>
  <c r="C25" i="22" s="1"/>
  <c r="C25" i="12"/>
  <c r="D25" i="12" s="1"/>
  <c r="D27" i="12" s="1"/>
  <c r="D55" i="12"/>
  <c r="D61" i="12" s="1"/>
  <c r="D79" i="12"/>
  <c r="D46" i="15"/>
  <c r="D42" i="15"/>
  <c r="D33" i="15"/>
  <c r="D74" i="15"/>
  <c r="D70" i="15"/>
  <c r="D73" i="15"/>
  <c r="D47" i="15"/>
  <c r="D127" i="15"/>
  <c r="D71" i="15"/>
  <c r="D45" i="15"/>
  <c r="D41" i="15"/>
  <c r="D32" i="15"/>
  <c r="D44" i="15"/>
  <c r="D40" i="15"/>
  <c r="D79" i="15"/>
  <c r="D43" i="15"/>
  <c r="D131" i="18" l="1"/>
  <c r="D115" i="18"/>
  <c r="D35" i="29"/>
  <c r="D36" i="29" s="1"/>
  <c r="D59" i="29" s="1"/>
  <c r="D62" i="29" s="1"/>
  <c r="D71" i="29"/>
  <c r="D68" i="29"/>
  <c r="D72" i="29" s="1"/>
  <c r="D36" i="28"/>
  <c r="D59" i="28" s="1"/>
  <c r="D62" i="28" s="1"/>
  <c r="D35" i="28"/>
  <c r="D71" i="28"/>
  <c r="D68" i="28"/>
  <c r="D72" i="28" s="1"/>
  <c r="D35" i="10"/>
  <c r="D36" i="10" s="1"/>
  <c r="D59" i="10" s="1"/>
  <c r="D62" i="10" s="1"/>
  <c r="D68" i="10"/>
  <c r="D71" i="10"/>
  <c r="C77" i="21"/>
  <c r="D77" i="21" s="1"/>
  <c r="D33" i="21"/>
  <c r="D47" i="21"/>
  <c r="D60" i="21" s="1"/>
  <c r="D42" i="23"/>
  <c r="D27" i="27"/>
  <c r="D29" i="27" s="1"/>
  <c r="D45" i="12"/>
  <c r="D47" i="12"/>
  <c r="D41" i="12"/>
  <c r="D123" i="12"/>
  <c r="D43" i="12"/>
  <c r="D42" i="12"/>
  <c r="D33" i="12"/>
  <c r="D75" i="12"/>
  <c r="C77" i="12" s="1"/>
  <c r="D77" i="12" s="1"/>
  <c r="D27" i="25"/>
  <c r="D28" i="25"/>
  <c r="D121" i="23"/>
  <c r="C28" i="26"/>
  <c r="D27" i="26" s="1"/>
  <c r="D29" i="26" s="1"/>
  <c r="D28" i="26"/>
  <c r="D85" i="27"/>
  <c r="D85" i="26"/>
  <c r="D85" i="25"/>
  <c r="D58" i="24"/>
  <c r="D45" i="24"/>
  <c r="D41" i="24"/>
  <c r="D32" i="24"/>
  <c r="D42" i="24"/>
  <c r="D127" i="24"/>
  <c r="D71" i="24"/>
  <c r="D55" i="24"/>
  <c r="D44" i="24"/>
  <c r="D40" i="24"/>
  <c r="D73" i="24"/>
  <c r="D33" i="24"/>
  <c r="D74" i="24"/>
  <c r="D70" i="24"/>
  <c r="D47" i="24"/>
  <c r="D43" i="24"/>
  <c r="D79" i="24"/>
  <c r="D46" i="24"/>
  <c r="D83" i="24"/>
  <c r="D44" i="23"/>
  <c r="D68" i="23"/>
  <c r="D41" i="23"/>
  <c r="D43" i="23"/>
  <c r="D31" i="23"/>
  <c r="D38" i="23"/>
  <c r="D67" i="23"/>
  <c r="D40" i="23"/>
  <c r="D45" i="23"/>
  <c r="D39" i="23"/>
  <c r="D64" i="23"/>
  <c r="D65" i="23"/>
  <c r="D30" i="23"/>
  <c r="C75" i="23"/>
  <c r="D75" i="23" s="1"/>
  <c r="D26" i="22"/>
  <c r="D69" i="22" s="1"/>
  <c r="D46" i="12"/>
  <c r="D66" i="12"/>
  <c r="D40" i="12"/>
  <c r="D67" i="12"/>
  <c r="D69" i="12"/>
  <c r="D70" i="12"/>
  <c r="D44" i="12"/>
  <c r="D32" i="12"/>
  <c r="D34" i="15"/>
  <c r="C81" i="15"/>
  <c r="D81" i="15" s="1"/>
  <c r="D48" i="15"/>
  <c r="D64" i="15" s="1"/>
  <c r="D116" i="18" l="1"/>
  <c r="D117" i="18" s="1"/>
  <c r="D124" i="29"/>
  <c r="D76" i="29"/>
  <c r="D91" i="29"/>
  <c r="D78" i="29"/>
  <c r="D125" i="29"/>
  <c r="D124" i="28"/>
  <c r="D76" i="28"/>
  <c r="D91" i="28"/>
  <c r="D78" i="28"/>
  <c r="D125" i="28"/>
  <c r="D124" i="10"/>
  <c r="D76" i="10"/>
  <c r="D72" i="10"/>
  <c r="D34" i="12"/>
  <c r="D34" i="21"/>
  <c r="D35" i="21" s="1"/>
  <c r="D59" i="21" s="1"/>
  <c r="D62" i="21" s="1"/>
  <c r="D71" i="21"/>
  <c r="D72" i="21"/>
  <c r="D32" i="23"/>
  <c r="D66" i="23" s="1"/>
  <c r="D43" i="27"/>
  <c r="D47" i="27"/>
  <c r="D75" i="27"/>
  <c r="D76" i="27"/>
  <c r="D72" i="27"/>
  <c r="D48" i="27"/>
  <c r="D49" i="27"/>
  <c r="D45" i="27"/>
  <c r="D50" i="27" s="1"/>
  <c r="D66" i="27" s="1"/>
  <c r="D44" i="27"/>
  <c r="D35" i="27"/>
  <c r="D34" i="27"/>
  <c r="D129" i="27"/>
  <c r="D73" i="27"/>
  <c r="D81" i="27"/>
  <c r="C83" i="27" s="1"/>
  <c r="D83" i="27" s="1"/>
  <c r="D46" i="27"/>
  <c r="D57" i="27"/>
  <c r="D42" i="27"/>
  <c r="D42" i="26"/>
  <c r="D44" i="26"/>
  <c r="D76" i="26"/>
  <c r="D35" i="26"/>
  <c r="D72" i="26"/>
  <c r="D45" i="26"/>
  <c r="D43" i="26"/>
  <c r="D81" i="26"/>
  <c r="C83" i="26" s="1"/>
  <c r="D83" i="26" s="1"/>
  <c r="D73" i="26"/>
  <c r="D49" i="26"/>
  <c r="D34" i="26"/>
  <c r="D36" i="26" s="1"/>
  <c r="D75" i="26"/>
  <c r="D57" i="26"/>
  <c r="D61" i="26" s="1"/>
  <c r="D67" i="26" s="1"/>
  <c r="D129" i="26"/>
  <c r="D48" i="26"/>
  <c r="D46" i="26"/>
  <c r="D47" i="26"/>
  <c r="D59" i="24"/>
  <c r="D65" i="24" s="1"/>
  <c r="D36" i="27"/>
  <c r="D77" i="27" s="1"/>
  <c r="D29" i="25"/>
  <c r="D34" i="24"/>
  <c r="D75" i="24" s="1"/>
  <c r="D48" i="24"/>
  <c r="D64" i="24" s="1"/>
  <c r="C81" i="24"/>
  <c r="D81" i="24" s="1"/>
  <c r="D35" i="24"/>
  <c r="D36" i="24" s="1"/>
  <c r="D63" i="24" s="1"/>
  <c r="D72" i="24"/>
  <c r="D76" i="24" s="1"/>
  <c r="D33" i="23"/>
  <c r="D34" i="23" s="1"/>
  <c r="D57" i="23" s="1"/>
  <c r="D46" i="23"/>
  <c r="D58" i="23" s="1"/>
  <c r="D69" i="23"/>
  <c r="D70" i="23" s="1"/>
  <c r="D76" i="23" s="1"/>
  <c r="D32" i="22"/>
  <c r="D45" i="22"/>
  <c r="D42" i="22"/>
  <c r="D31" i="22"/>
  <c r="D46" i="22"/>
  <c r="D40" i="22"/>
  <c r="D123" i="22"/>
  <c r="D75" i="22"/>
  <c r="C77" i="22" s="1"/>
  <c r="D77" i="22" s="1"/>
  <c r="D66" i="22"/>
  <c r="D67" i="22"/>
  <c r="D39" i="22"/>
  <c r="D44" i="22"/>
  <c r="D70" i="22"/>
  <c r="D41" i="22"/>
  <c r="D43" i="22"/>
  <c r="D48" i="12"/>
  <c r="D60" i="12" s="1"/>
  <c r="D35" i="12"/>
  <c r="D36" i="12" s="1"/>
  <c r="D59" i="12" s="1"/>
  <c r="D71" i="12"/>
  <c r="D68" i="12"/>
  <c r="D35" i="15"/>
  <c r="D36" i="15"/>
  <c r="D63" i="15" s="1"/>
  <c r="D66" i="15" s="1"/>
  <c r="D72" i="15"/>
  <c r="D75" i="15"/>
  <c r="D121" i="18" l="1"/>
  <c r="D132" i="18" s="1"/>
  <c r="D80" i="29"/>
  <c r="D80" i="28"/>
  <c r="D78" i="10"/>
  <c r="D80" i="10" s="1"/>
  <c r="D125" i="10"/>
  <c r="D91" i="10"/>
  <c r="D76" i="21"/>
  <c r="D124" i="21"/>
  <c r="D91" i="21"/>
  <c r="D78" i="21"/>
  <c r="D125" i="21"/>
  <c r="D60" i="23"/>
  <c r="D74" i="23" s="1"/>
  <c r="D66" i="24"/>
  <c r="D80" i="24" s="1"/>
  <c r="D84" i="24" s="1"/>
  <c r="D37" i="27"/>
  <c r="D61" i="27"/>
  <c r="D67" i="27" s="1"/>
  <c r="D38" i="27"/>
  <c r="D65" i="27" s="1"/>
  <c r="D62" i="12"/>
  <c r="D124" i="12" s="1"/>
  <c r="D47" i="25"/>
  <c r="D76" i="25"/>
  <c r="D35" i="25"/>
  <c r="D45" i="25"/>
  <c r="D129" i="25"/>
  <c r="D43" i="25"/>
  <c r="D72" i="25"/>
  <c r="D34" i="25"/>
  <c r="D49" i="25"/>
  <c r="D73" i="25"/>
  <c r="D57" i="25"/>
  <c r="D81" i="25"/>
  <c r="C83" i="25" s="1"/>
  <c r="D83" i="25" s="1"/>
  <c r="D42" i="25"/>
  <c r="D46" i="25"/>
  <c r="D75" i="25"/>
  <c r="D44" i="25"/>
  <c r="D48" i="25"/>
  <c r="D77" i="26"/>
  <c r="D37" i="26"/>
  <c r="D38" i="26" s="1"/>
  <c r="D65" i="26" s="1"/>
  <c r="D68" i="26" s="1"/>
  <c r="D74" i="26"/>
  <c r="D72" i="12"/>
  <c r="D125" i="12" s="1"/>
  <c r="D74" i="27"/>
  <c r="D78" i="27" s="1"/>
  <c r="D131" i="27" s="1"/>
  <c r="D50" i="26"/>
  <c r="D66" i="26" s="1"/>
  <c r="D33" i="22"/>
  <c r="D34" i="22" s="1"/>
  <c r="D35" i="22" s="1"/>
  <c r="D59" i="22" s="1"/>
  <c r="D82" i="24"/>
  <c r="D129" i="24"/>
  <c r="D128" i="24"/>
  <c r="D95" i="24"/>
  <c r="D123" i="23"/>
  <c r="D122" i="23"/>
  <c r="D89" i="23"/>
  <c r="D78" i="23"/>
  <c r="D87" i="23" s="1"/>
  <c r="D47" i="22"/>
  <c r="D60" i="22" s="1"/>
  <c r="D76" i="15"/>
  <c r="D95" i="15" s="1"/>
  <c r="D128" i="15"/>
  <c r="D80" i="15"/>
  <c r="D133" i="18" l="1"/>
  <c r="D120" i="18" s="1"/>
  <c r="D85" i="29"/>
  <c r="D89" i="29"/>
  <c r="D87" i="29"/>
  <c r="D86" i="29"/>
  <c r="D90" i="29"/>
  <c r="D88" i="29"/>
  <c r="D90" i="28"/>
  <c r="D89" i="28"/>
  <c r="D88" i="28"/>
  <c r="D87" i="28"/>
  <c r="D86" i="28"/>
  <c r="D85" i="28"/>
  <c r="D92" i="28" s="1"/>
  <c r="D100" i="28" s="1"/>
  <c r="D102" i="28" s="1"/>
  <c r="D61" i="25"/>
  <c r="D67" i="25" s="1"/>
  <c r="D90" i="10"/>
  <c r="D89" i="10"/>
  <c r="D86" i="10"/>
  <c r="D88" i="10"/>
  <c r="D85" i="10"/>
  <c r="D87" i="10"/>
  <c r="D76" i="12"/>
  <c r="D80" i="21"/>
  <c r="D85" i="21" s="1"/>
  <c r="D68" i="22"/>
  <c r="D68" i="27"/>
  <c r="D130" i="27" s="1"/>
  <c r="D78" i="26"/>
  <c r="D50" i="25"/>
  <c r="D66" i="25" s="1"/>
  <c r="D82" i="26"/>
  <c r="D130" i="26"/>
  <c r="D84" i="27"/>
  <c r="D78" i="12"/>
  <c r="D80" i="12" s="1"/>
  <c r="D91" i="12"/>
  <c r="D36" i="25"/>
  <c r="D71" i="22"/>
  <c r="D93" i="24"/>
  <c r="D89" i="24"/>
  <c r="D92" i="24"/>
  <c r="D94" i="24"/>
  <c r="D91" i="24"/>
  <c r="D90" i="24"/>
  <c r="D86" i="23"/>
  <c r="D85" i="23"/>
  <c r="D88" i="23"/>
  <c r="D83" i="23"/>
  <c r="D84" i="23"/>
  <c r="D62" i="22"/>
  <c r="D124" i="22" s="1"/>
  <c r="D129" i="15"/>
  <c r="D82" i="15"/>
  <c r="D84" i="15" s="1"/>
  <c r="D118" i="18" l="1"/>
  <c r="D119" i="18"/>
  <c r="D136" i="18"/>
  <c r="D138" i="18" s="1"/>
  <c r="D92" i="29"/>
  <c r="D100" i="29" s="1"/>
  <c r="D102" i="29" s="1"/>
  <c r="D126" i="28"/>
  <c r="D128" i="28" s="1"/>
  <c r="D92" i="10"/>
  <c r="D100" i="10" s="1"/>
  <c r="D102" i="10" s="1"/>
  <c r="D90" i="21"/>
  <c r="D89" i="21"/>
  <c r="D88" i="21"/>
  <c r="D86" i="21"/>
  <c r="D87" i="21"/>
  <c r="D72" i="22"/>
  <c r="D97" i="27"/>
  <c r="D82" i="27"/>
  <c r="D86" i="27" s="1"/>
  <c r="D90" i="12"/>
  <c r="D86" i="12"/>
  <c r="D85" i="12"/>
  <c r="D37" i="25"/>
  <c r="D38" i="25" s="1"/>
  <c r="D65" i="25" s="1"/>
  <c r="D68" i="25" s="1"/>
  <c r="D74" i="25"/>
  <c r="D77" i="25"/>
  <c r="D97" i="26"/>
  <c r="D131" i="26"/>
  <c r="D84" i="26"/>
  <c r="D86" i="26" s="1"/>
  <c r="D87" i="12"/>
  <c r="D88" i="12"/>
  <c r="D96" i="24"/>
  <c r="D104" i="24" s="1"/>
  <c r="D106" i="24" s="1"/>
  <c r="D90" i="23"/>
  <c r="D98" i="23" s="1"/>
  <c r="D100" i="23" s="1"/>
  <c r="D124" i="23" s="1"/>
  <c r="D126" i="23" s="1"/>
  <c r="D110" i="23" s="1"/>
  <c r="D76" i="22"/>
  <c r="D91" i="22"/>
  <c r="D125" i="22"/>
  <c r="D78" i="22"/>
  <c r="D89" i="12"/>
  <c r="D93" i="15"/>
  <c r="D89" i="15"/>
  <c r="D92" i="15"/>
  <c r="D91" i="15"/>
  <c r="D90" i="15"/>
  <c r="D94" i="15"/>
  <c r="D126" i="29" l="1"/>
  <c r="D128" i="29" s="1"/>
  <c r="D112" i="28"/>
  <c r="D126" i="10"/>
  <c r="D128" i="10" s="1"/>
  <c r="D92" i="12"/>
  <c r="D100" i="12" s="1"/>
  <c r="D102" i="12" s="1"/>
  <c r="D126" i="12" s="1"/>
  <c r="D128" i="12" s="1"/>
  <c r="D92" i="21"/>
  <c r="D100" i="21" s="1"/>
  <c r="D102" i="21" s="1"/>
  <c r="D96" i="27"/>
  <c r="D91" i="27"/>
  <c r="D95" i="27"/>
  <c r="D92" i="27"/>
  <c r="D94" i="27"/>
  <c r="D93" i="27"/>
  <c r="D93" i="26"/>
  <c r="D92" i="26"/>
  <c r="D95" i="26"/>
  <c r="D94" i="26"/>
  <c r="D96" i="26"/>
  <c r="D91" i="26"/>
  <c r="D78" i="25"/>
  <c r="D82" i="25"/>
  <c r="D130" i="25"/>
  <c r="D130" i="24"/>
  <c r="D132" i="24" s="1"/>
  <c r="D111" i="23"/>
  <c r="D112" i="23" s="1"/>
  <c r="D116" i="23" s="1"/>
  <c r="D127" i="23" s="1"/>
  <c r="D128" i="23" s="1"/>
  <c r="D80" i="22"/>
  <c r="D86" i="22" s="1"/>
  <c r="D96" i="15"/>
  <c r="D104" i="15" s="1"/>
  <c r="D106" i="15" s="1"/>
  <c r="D112" i="29" l="1"/>
  <c r="D113" i="28"/>
  <c r="D114" i="28" s="1"/>
  <c r="D98" i="26"/>
  <c r="D106" i="26" s="1"/>
  <c r="D108" i="26" s="1"/>
  <c r="D132" i="26" s="1"/>
  <c r="D134" i="26" s="1"/>
  <c r="D118" i="26" s="1"/>
  <c r="D119" i="26" s="1"/>
  <c r="D120" i="26" s="1"/>
  <c r="D112" i="10"/>
  <c r="D126" i="21"/>
  <c r="D128" i="21" s="1"/>
  <c r="D98" i="27"/>
  <c r="D106" i="27" s="1"/>
  <c r="D108" i="27" s="1"/>
  <c r="D132" i="27" s="1"/>
  <c r="D134" i="27" s="1"/>
  <c r="D118" i="27" s="1"/>
  <c r="D119" i="27" s="1"/>
  <c r="D120" i="27" s="1"/>
  <c r="D97" i="25"/>
  <c r="D84" i="25"/>
  <c r="D86" i="25" s="1"/>
  <c r="D131" i="25"/>
  <c r="D116" i="24"/>
  <c r="D114" i="23"/>
  <c r="D131" i="23"/>
  <c r="D133" i="23" s="1"/>
  <c r="D113" i="23"/>
  <c r="D115" i="23"/>
  <c r="D90" i="22"/>
  <c r="D88" i="22"/>
  <c r="D85" i="22"/>
  <c r="D87" i="22"/>
  <c r="D89" i="22"/>
  <c r="D112" i="12"/>
  <c r="D130" i="15"/>
  <c r="D132" i="15" s="1"/>
  <c r="D118" i="28" l="1"/>
  <c r="D129" i="28" s="1"/>
  <c r="D130" i="28" s="1"/>
  <c r="D133" i="28" s="1"/>
  <c r="D135" i="28" s="1"/>
  <c r="D113" i="29"/>
  <c r="D114" i="29"/>
  <c r="D113" i="10"/>
  <c r="D114" i="10"/>
  <c r="D118" i="10" s="1"/>
  <c r="D129" i="10" s="1"/>
  <c r="D130" i="10" s="1"/>
  <c r="D112" i="21"/>
  <c r="D92" i="25"/>
  <c r="D96" i="25"/>
  <c r="D95" i="25"/>
  <c r="D91" i="25"/>
  <c r="D93" i="25"/>
  <c r="D94" i="25"/>
  <c r="D124" i="27"/>
  <c r="D135" i="27" s="1"/>
  <c r="D136" i="27" s="1"/>
  <c r="D139" i="27" s="1"/>
  <c r="D141" i="27" s="1"/>
  <c r="D124" i="26"/>
  <c r="D135" i="26" s="1"/>
  <c r="D136" i="26" s="1"/>
  <c r="D139" i="26" s="1"/>
  <c r="D141" i="26" s="1"/>
  <c r="D117" i="24"/>
  <c r="D118" i="24"/>
  <c r="D122" i="24" s="1"/>
  <c r="D133" i="24" s="1"/>
  <c r="D134" i="24" s="1"/>
  <c r="D92" i="22"/>
  <c r="D100" i="22" s="1"/>
  <c r="D102" i="22" s="1"/>
  <c r="D126" i="22" s="1"/>
  <c r="D128" i="22" s="1"/>
  <c r="D112" i="22" s="1"/>
  <c r="D113" i="22" s="1"/>
  <c r="D114" i="22" s="1"/>
  <c r="D118" i="22" s="1"/>
  <c r="D129" i="22" s="1"/>
  <c r="D130" i="22" s="1"/>
  <c r="D113" i="12"/>
  <c r="D114" i="12"/>
  <c r="D118" i="12" s="1"/>
  <c r="D129" i="12" s="1"/>
  <c r="D130" i="12" s="1"/>
  <c r="D116" i="15"/>
  <c r="D117" i="28" l="1"/>
  <c r="D115" i="28"/>
  <c r="D116" i="28"/>
  <c r="D118" i="29"/>
  <c r="D129" i="29" s="1"/>
  <c r="D130" i="29" s="1"/>
  <c r="D115" i="29" s="1"/>
  <c r="D133" i="10"/>
  <c r="D135" i="10" s="1"/>
  <c r="D116" i="10"/>
  <c r="D115" i="10"/>
  <c r="D117" i="10"/>
  <c r="D113" i="21"/>
  <c r="D114" i="21"/>
  <c r="D118" i="21" s="1"/>
  <c r="D129" i="21" s="1"/>
  <c r="D130" i="21" s="1"/>
  <c r="D98" i="25"/>
  <c r="D106" i="25" s="1"/>
  <c r="D108" i="25" s="1"/>
  <c r="D132" i="25" s="1"/>
  <c r="D134" i="25" s="1"/>
  <c r="D118" i="25" s="1"/>
  <c r="D122" i="26"/>
  <c r="D123" i="27"/>
  <c r="D122" i="27"/>
  <c r="D121" i="27"/>
  <c r="D123" i="26"/>
  <c r="D121" i="26"/>
  <c r="D120" i="24"/>
  <c r="D137" i="24"/>
  <c r="D139" i="24" s="1"/>
  <c r="D119" i="24"/>
  <c r="D121" i="24"/>
  <c r="D116" i="22"/>
  <c r="D133" i="22"/>
  <c r="D135" i="22" s="1"/>
  <c r="D115" i="22"/>
  <c r="D117" i="22"/>
  <c r="D116" i="12"/>
  <c r="D117" i="12"/>
  <c r="D133" i="12"/>
  <c r="D135" i="12" s="1"/>
  <c r="D115" i="12"/>
  <c r="D117" i="15"/>
  <c r="D118" i="15" s="1"/>
  <c r="D116" i="29" l="1"/>
  <c r="D133" i="29"/>
  <c r="D135" i="29" s="1"/>
  <c r="D117" i="29"/>
  <c r="D115" i="21"/>
  <c r="D133" i="21"/>
  <c r="D135" i="21" s="1"/>
  <c r="D117" i="21"/>
  <c r="D116" i="21"/>
  <c r="D119" i="25"/>
  <c r="D120" i="25" s="1"/>
  <c r="D122" i="15"/>
  <c r="D133" i="15" s="1"/>
  <c r="D134" i="15" s="1"/>
  <c r="D137" i="15" s="1"/>
  <c r="D139" i="15" s="1"/>
  <c r="D121" i="15" l="1"/>
  <c r="D120" i="15"/>
  <c r="D119" i="15"/>
  <c r="D124" i="25"/>
  <c r="D135" i="25" s="1"/>
  <c r="D136" i="25" s="1"/>
  <c r="D139" i="25" s="1"/>
  <c r="D141" i="25" s="1"/>
  <c r="D108" i="16"/>
  <c r="D127" i="16" s="1"/>
  <c r="D101" i="16"/>
  <c r="D52" i="16"/>
  <c r="C48" i="16"/>
  <c r="C35" i="16"/>
  <c r="C34" i="16"/>
  <c r="D24" i="16"/>
  <c r="D23" i="16"/>
  <c r="D50" i="17"/>
  <c r="D106" i="17"/>
  <c r="D125" i="17" s="1"/>
  <c r="D99" i="17"/>
  <c r="C46" i="17"/>
  <c r="C33" i="17"/>
  <c r="C32" i="17"/>
  <c r="D24" i="17"/>
  <c r="D23" i="17"/>
  <c r="D78" i="13"/>
  <c r="D23" i="13"/>
  <c r="D107" i="13"/>
  <c r="D126" i="13" s="1"/>
  <c r="D100" i="13"/>
  <c r="C47" i="13"/>
  <c r="C34" i="13"/>
  <c r="C33" i="13"/>
  <c r="D24" i="13"/>
  <c r="C117" i="19"/>
  <c r="D54" i="13" l="1"/>
  <c r="D60" i="13" s="1"/>
  <c r="C26" i="16"/>
  <c r="D26" i="16" s="1"/>
  <c r="D55" i="16"/>
  <c r="D61" i="16" s="1"/>
  <c r="D25" i="17"/>
  <c r="D121" i="17" s="1"/>
  <c r="D53" i="17"/>
  <c r="D59" i="17" s="1"/>
  <c r="D123" i="25"/>
  <c r="D77" i="17"/>
  <c r="D26" i="13"/>
  <c r="D122" i="25"/>
  <c r="D121" i="25"/>
  <c r="C25" i="16"/>
  <c r="D25" i="16" s="1"/>
  <c r="D27" i="16" s="1"/>
  <c r="D79" i="16"/>
  <c r="D30" i="17"/>
  <c r="D39" i="17"/>
  <c r="D43" i="17"/>
  <c r="D67" i="17"/>
  <c r="D31" i="17"/>
  <c r="D73" i="17"/>
  <c r="D41" i="17"/>
  <c r="D45" i="17"/>
  <c r="D42" i="17" l="1"/>
  <c r="D68" i="17"/>
  <c r="D32" i="16"/>
  <c r="D47" i="16"/>
  <c r="D32" i="13"/>
  <c r="D31" i="13"/>
  <c r="D33" i="13" s="1"/>
  <c r="D67" i="13" s="1"/>
  <c r="D68" i="13"/>
  <c r="D42" i="13"/>
  <c r="D74" i="13"/>
  <c r="C76" i="13" s="1"/>
  <c r="D76" i="13" s="1"/>
  <c r="D66" i="13"/>
  <c r="D69" i="13"/>
  <c r="D43" i="13"/>
  <c r="D64" i="17"/>
  <c r="D44" i="17"/>
  <c r="D38" i="17"/>
  <c r="D46" i="17" s="1"/>
  <c r="D58" i="17" s="1"/>
  <c r="D65" i="17"/>
  <c r="D40" i="17"/>
  <c r="D44" i="13"/>
  <c r="D39" i="13"/>
  <c r="D65" i="13"/>
  <c r="D41" i="13"/>
  <c r="D40" i="13"/>
  <c r="D122" i="13"/>
  <c r="D46" i="13"/>
  <c r="D45" i="13"/>
  <c r="D66" i="16"/>
  <c r="D75" i="16"/>
  <c r="C77" i="16" s="1"/>
  <c r="D77" i="16" s="1"/>
  <c r="D123" i="16"/>
  <c r="D41" i="16"/>
  <c r="D33" i="16"/>
  <c r="D34" i="16" s="1"/>
  <c r="D35" i="16" s="1"/>
  <c r="D36" i="16" s="1"/>
  <c r="D59" i="16" s="1"/>
  <c r="D70" i="16"/>
  <c r="D40" i="16"/>
  <c r="D45" i="16"/>
  <c r="D42" i="16"/>
  <c r="D43" i="16"/>
  <c r="D44" i="16"/>
  <c r="D67" i="16"/>
  <c r="D69" i="16"/>
  <c r="D46" i="16"/>
  <c r="C75" i="17"/>
  <c r="D75" i="17" s="1"/>
  <c r="D32" i="17"/>
  <c r="D34" i="13" l="1"/>
  <c r="D35" i="13" s="1"/>
  <c r="D58" i="13" s="1"/>
  <c r="D70" i="13"/>
  <c r="D47" i="13"/>
  <c r="D59" i="13" s="1"/>
  <c r="D48" i="16"/>
  <c r="D60" i="16" s="1"/>
  <c r="D62" i="16" s="1"/>
  <c r="D124" i="16" s="1"/>
  <c r="D71" i="16"/>
  <c r="D68" i="16"/>
  <c r="D33" i="17"/>
  <c r="D34" i="17" s="1"/>
  <c r="D57" i="17" s="1"/>
  <c r="D60" i="17" s="1"/>
  <c r="D66" i="17"/>
  <c r="D69" i="17"/>
  <c r="D71" i="13"/>
  <c r="D124" i="13" s="1"/>
  <c r="D77" i="13"/>
  <c r="D70" i="17" l="1"/>
  <c r="D123" i="17" s="1"/>
  <c r="D61" i="13"/>
  <c r="D123" i="13" s="1"/>
  <c r="D72" i="16"/>
  <c r="D125" i="16" s="1"/>
  <c r="D76" i="16"/>
  <c r="D74" i="17"/>
  <c r="D122" i="17"/>
  <c r="D89" i="17"/>
  <c r="D76" i="17"/>
  <c r="D75" i="13" l="1"/>
  <c r="D79" i="13" s="1"/>
  <c r="D84" i="13" s="1"/>
  <c r="D88" i="13"/>
  <c r="D89" i="13"/>
  <c r="D90" i="13"/>
  <c r="D91" i="16"/>
  <c r="D86" i="13"/>
  <c r="D87" i="13"/>
  <c r="D85" i="13"/>
  <c r="D78" i="16"/>
  <c r="D80" i="16" s="1"/>
  <c r="D85" i="16" s="1"/>
  <c r="D78" i="17"/>
  <c r="D91" i="13" l="1"/>
  <c r="D99" i="13" s="1"/>
  <c r="D101" i="13" s="1"/>
  <c r="D125" i="13" s="1"/>
  <c r="D127" i="13" s="1"/>
  <c r="D90" i="16"/>
  <c r="D88" i="16"/>
  <c r="D89" i="16"/>
  <c r="D86" i="16"/>
  <c r="D87" i="16"/>
  <c r="D86" i="17"/>
  <c r="D88" i="17"/>
  <c r="D83" i="17"/>
  <c r="D85" i="17"/>
  <c r="D84" i="17"/>
  <c r="D87" i="17"/>
  <c r="D92" i="16" l="1"/>
  <c r="D100" i="16" s="1"/>
  <c r="D102" i="16" s="1"/>
  <c r="D126" i="16" s="1"/>
  <c r="D128" i="16" s="1"/>
  <c r="D112" i="16" s="1"/>
  <c r="D90" i="17"/>
  <c r="D98" i="17" s="1"/>
  <c r="D100" i="17" s="1"/>
  <c r="D111" i="13"/>
  <c r="D113" i="16" l="1"/>
  <c r="D114" i="16" s="1"/>
  <c r="D124" i="17"/>
  <c r="D126" i="17" s="1"/>
  <c r="D112" i="13"/>
  <c r="D113" i="13" s="1"/>
  <c r="D118" i="16" l="1"/>
  <c r="D129" i="16" s="1"/>
  <c r="D130" i="16" s="1"/>
  <c r="D110" i="17"/>
  <c r="D117" i="13"/>
  <c r="D128" i="13" s="1"/>
  <c r="D129" i="13" s="1"/>
  <c r="D132" i="13" s="1"/>
  <c r="D134" i="13" s="1"/>
  <c r="D116" i="16" l="1"/>
  <c r="D133" i="16"/>
  <c r="D135" i="16" s="1"/>
  <c r="D115" i="16"/>
  <c r="D117" i="16"/>
  <c r="D111" i="17"/>
  <c r="D112" i="17" s="1"/>
  <c r="D116" i="13"/>
  <c r="D115" i="13"/>
  <c r="D114" i="13"/>
  <c r="D116" i="17" l="1"/>
  <c r="D127" i="17" s="1"/>
  <c r="D128" i="17" s="1"/>
  <c r="D131" i="17" s="1"/>
  <c r="D133" i="17" s="1"/>
  <c r="D115" i="17" l="1"/>
  <c r="D114" i="17"/>
  <c r="D113" i="17"/>
  <c r="H24" i="20" l="1"/>
  <c r="D111" i="19"/>
  <c r="D130" i="19" s="1"/>
  <c r="D104" i="19"/>
  <c r="D82" i="19"/>
  <c r="D58" i="19"/>
  <c r="D64" i="19" s="1"/>
  <c r="C47" i="19"/>
  <c r="C34" i="19"/>
  <c r="C33" i="19"/>
  <c r="D24" i="19" l="1"/>
  <c r="E13" i="11"/>
  <c r="E14" i="11" s="1"/>
  <c r="D112" i="7"/>
  <c r="D131" i="7" s="1"/>
  <c r="E19" i="9"/>
  <c r="D26" i="7"/>
  <c r="D27" i="7" s="1"/>
  <c r="D105" i="7"/>
  <c r="C48" i="7"/>
  <c r="C35" i="7"/>
  <c r="C34" i="7"/>
  <c r="D112" i="4"/>
  <c r="D131" i="4" s="1"/>
  <c r="D105" i="4"/>
  <c r="C48" i="4"/>
  <c r="C35" i="4"/>
  <c r="C34" i="4"/>
  <c r="D26" i="4"/>
  <c r="D27" i="4" s="1"/>
  <c r="D112" i="1"/>
  <c r="D131" i="1" s="1"/>
  <c r="D26" i="1"/>
  <c r="E16" i="5"/>
  <c r="D105" i="1"/>
  <c r="C48" i="1"/>
  <c r="C35" i="1"/>
  <c r="C34" i="1"/>
  <c r="D83" i="4" l="1"/>
  <c r="D25" i="19"/>
  <c r="D26" i="19" s="1"/>
  <c r="D83" i="7"/>
  <c r="D45" i="7"/>
  <c r="D41" i="7"/>
  <c r="D32" i="7"/>
  <c r="D127" i="7"/>
  <c r="D71" i="7"/>
  <c r="D55" i="7"/>
  <c r="D44" i="7"/>
  <c r="D40" i="7"/>
  <c r="D74" i="7"/>
  <c r="D79" i="7"/>
  <c r="D73" i="7"/>
  <c r="D46" i="7"/>
  <c r="D42" i="7"/>
  <c r="D33" i="7"/>
  <c r="D70" i="7"/>
  <c r="D47" i="7"/>
  <c r="D43" i="7"/>
  <c r="D33" i="4"/>
  <c r="D42" i="4"/>
  <c r="D46" i="4"/>
  <c r="D73" i="4"/>
  <c r="D79" i="4"/>
  <c r="D43" i="4"/>
  <c r="D47" i="4"/>
  <c r="D70" i="4"/>
  <c r="D74" i="4"/>
  <c r="D44" i="4"/>
  <c r="D55" i="4"/>
  <c r="D59" i="4" s="1"/>
  <c r="D71" i="4"/>
  <c r="D127" i="4"/>
  <c r="D40" i="4"/>
  <c r="D32" i="4"/>
  <c r="D41" i="4"/>
  <c r="D45" i="4"/>
  <c r="D58" i="4"/>
  <c r="D83" i="1"/>
  <c r="D59" i="7" l="1"/>
  <c r="D65" i="7" s="1"/>
  <c r="D65" i="4"/>
  <c r="D126" i="19"/>
  <c r="D78" i="19"/>
  <c r="C80" i="19" s="1"/>
  <c r="C81" i="7"/>
  <c r="D81" i="7" s="1"/>
  <c r="D48" i="7"/>
  <c r="D64" i="7" s="1"/>
  <c r="D34" i="7"/>
  <c r="D48" i="4"/>
  <c r="D64" i="4" s="1"/>
  <c r="D34" i="4"/>
  <c r="C81" i="4"/>
  <c r="D81" i="4" s="1"/>
  <c r="D27" i="1"/>
  <c r="D55" i="1" s="1"/>
  <c r="D47" i="19" l="1"/>
  <c r="D63" i="19" s="1"/>
  <c r="D34" i="19"/>
  <c r="D35" i="19" s="1"/>
  <c r="D62" i="19" s="1"/>
  <c r="D35" i="7"/>
  <c r="D36" i="7" s="1"/>
  <c r="D63" i="7" s="1"/>
  <c r="D66" i="7" s="1"/>
  <c r="D72" i="7"/>
  <c r="D75" i="7"/>
  <c r="D35" i="4"/>
  <c r="D36" i="4" s="1"/>
  <c r="D63" i="4" s="1"/>
  <c r="D66" i="4" s="1"/>
  <c r="D75" i="4"/>
  <c r="D72" i="4"/>
  <c r="D46" i="1"/>
  <c r="D40" i="1"/>
  <c r="D47" i="1"/>
  <c r="D73" i="1"/>
  <c r="D44" i="1"/>
  <c r="D45" i="1"/>
  <c r="D58" i="1"/>
  <c r="D59" i="1" s="1"/>
  <c r="D65" i="1" s="1"/>
  <c r="D74" i="1"/>
  <c r="D42" i="1"/>
  <c r="D32" i="1"/>
  <c r="D41" i="1"/>
  <c r="D79" i="1"/>
  <c r="C81" i="1" s="1"/>
  <c r="D81" i="1" s="1"/>
  <c r="D71" i="1"/>
  <c r="D127" i="1"/>
  <c r="D43" i="1"/>
  <c r="D33" i="1"/>
  <c r="D70" i="1"/>
  <c r="D75" i="19" l="1"/>
  <c r="D81" i="19" s="1"/>
  <c r="D65" i="19"/>
  <c r="D79" i="19" s="1"/>
  <c r="D76" i="4"/>
  <c r="D129" i="4" s="1"/>
  <c r="D76" i="7"/>
  <c r="D95" i="7" s="1"/>
  <c r="D128" i="7"/>
  <c r="D80" i="7"/>
  <c r="D128" i="4"/>
  <c r="D80" i="4"/>
  <c r="D48" i="1"/>
  <c r="D64" i="1" s="1"/>
  <c r="D34" i="1"/>
  <c r="D75" i="1" s="1"/>
  <c r="D128" i="19" l="1"/>
  <c r="D95" i="4"/>
  <c r="D82" i="4"/>
  <c r="D83" i="19"/>
  <c r="D94" i="19"/>
  <c r="D127" i="19"/>
  <c r="D129" i="7"/>
  <c r="D82" i="7"/>
  <c r="D84" i="7" s="1"/>
  <c r="D84" i="4"/>
  <c r="D72" i="1"/>
  <c r="D35" i="1"/>
  <c r="D36" i="1" s="1"/>
  <c r="D63" i="1" s="1"/>
  <c r="D66" i="1" s="1"/>
  <c r="D128" i="1" s="1"/>
  <c r="D76" i="1"/>
  <c r="D93" i="7" l="1"/>
  <c r="D89" i="7"/>
  <c r="D92" i="7"/>
  <c r="D91" i="7"/>
  <c r="D94" i="7"/>
  <c r="D90" i="7"/>
  <c r="D93" i="4"/>
  <c r="D89" i="4"/>
  <c r="D92" i="4"/>
  <c r="D91" i="4"/>
  <c r="D94" i="4"/>
  <c r="D90" i="4"/>
  <c r="D95" i="1"/>
  <c r="D80" i="1"/>
  <c r="D82" i="1"/>
  <c r="D129" i="1"/>
  <c r="D95" i="19" l="1"/>
  <c r="D103" i="19" s="1"/>
  <c r="D105" i="19" s="1"/>
  <c r="D129" i="19" s="1"/>
  <c r="D131" i="19" s="1"/>
  <c r="D96" i="7"/>
  <c r="D104" i="7" s="1"/>
  <c r="D106" i="7" s="1"/>
  <c r="D96" i="4"/>
  <c r="D104" i="4" s="1"/>
  <c r="D106" i="4" s="1"/>
  <c r="D84" i="1"/>
  <c r="D93" i="1" s="1"/>
  <c r="D115" i="19" l="1"/>
  <c r="D130" i="7"/>
  <c r="D132" i="7" s="1"/>
  <c r="D130" i="4"/>
  <c r="D132" i="4" s="1"/>
  <c r="D94" i="1"/>
  <c r="D92" i="1"/>
  <c r="D89" i="1"/>
  <c r="D90" i="1"/>
  <c r="D91" i="1"/>
  <c r="D116" i="19" l="1"/>
  <c r="D116" i="7"/>
  <c r="D116" i="4"/>
  <c r="D96" i="1"/>
  <c r="D104" i="1" s="1"/>
  <c r="D106" i="1" s="1"/>
  <c r="D130" i="1" s="1"/>
  <c r="D132" i="1" s="1"/>
  <c r="D116" i="1" s="1"/>
  <c r="D117" i="1" s="1"/>
  <c r="D118" i="1" s="1"/>
  <c r="D117" i="19" l="1"/>
  <c r="D121" i="19" s="1"/>
  <c r="D132" i="19" s="1"/>
  <c r="D133" i="19" s="1"/>
  <c r="D117" i="7"/>
  <c r="D118" i="7" s="1"/>
  <c r="D117" i="4"/>
  <c r="D118" i="4" s="1"/>
  <c r="D122" i="1"/>
  <c r="D133" i="1" s="1"/>
  <c r="D134" i="1" s="1"/>
  <c r="D137" i="1" s="1"/>
  <c r="D139" i="1" s="1"/>
  <c r="D136" i="19" l="1"/>
  <c r="D138" i="19" s="1"/>
  <c r="D118" i="19"/>
  <c r="D119" i="19"/>
  <c r="D120" i="19"/>
  <c r="D122" i="7"/>
  <c r="D133" i="7" s="1"/>
  <c r="D122" i="4"/>
  <c r="D133" i="4" s="1"/>
  <c r="D134" i="4" s="1"/>
  <c r="D120" i="4" s="1"/>
  <c r="D119" i="1"/>
  <c r="D121" i="1"/>
  <c r="D120" i="1"/>
  <c r="D134" i="7" l="1"/>
  <c r="D120" i="7" s="1"/>
  <c r="D121" i="7"/>
  <c r="D119" i="7"/>
  <c r="D121" i="4"/>
  <c r="D119" i="4"/>
  <c r="D137" i="4"/>
  <c r="D139" i="4" s="1"/>
  <c r="D137" i="7" l="1"/>
  <c r="D139" i="7" s="1"/>
</calcChain>
</file>

<file path=xl/sharedStrings.xml><?xml version="1.0" encoding="utf-8"?>
<sst xmlns="http://schemas.openxmlformats.org/spreadsheetml/2006/main" count="4486" uniqueCount="313">
  <si>
    <t>ITEM</t>
  </si>
  <si>
    <t>DESCRIÇÃO</t>
  </si>
  <si>
    <t>CÓDIGO</t>
  </si>
  <si>
    <t>M2CONFECÇÃO DE ADESIVO BRILHO - CONFECÇÃO DE ADESIVO BRILHO COM PRETEÇÃO DE VERNIZ, IMPRESSÃO DIGITAL 4X0, 14440 dpi, 0,10 mm DE ESPRESSURA EM VÁRIOS FORMATOS</t>
  </si>
  <si>
    <t>UN - BANNER DUPLA FACE EM LONA B.O IMPRESSÃO DIGITAL 440GR/M2, 14440DPI,1,20X0,90M COM ACABAMENTO</t>
  </si>
  <si>
    <t>M2 - PLACA DE SINALIZAÇÃO INTERNA - CONFECÇÃO DE PLACA DE SINALIZAÇÃO DE PLACA INTERNA EM PS 2MM, IMPRESSÃO DIRETO NA CHAPA, MEDIDAS - DIVERSAS COM ACABAMENTOS EM CORTES RETOS</t>
  </si>
  <si>
    <t>M2 - PLOTAGEM EM VEÍCULOS - SERVIÇO DE PLOTAGEM EM VEÍCULOS - ADESIVO 0, 08 MM, COLA A BASE DE SOLVENTE, COM IMPRESSÃO UV, COM APLICAÇÃO, GARANTIA DE 18 MESES.</t>
  </si>
  <si>
    <t>UN - BANNER LONA, IMPRESSÃO DIGITAL 440GR/M2, BANNER LONA, IMPRESSÃO DIGITAL 440GR/M2, 1440DPI,  1,50X1,00M COM ACABAMENTO DE BASTÃO E ILHÓS A CADA 25 CM.</t>
  </si>
  <si>
    <t>UN - CONFECÇÃO DE FAIXA EM LONA - CONFECÇÃO DE FAIXA EM LONA, IMPRESSÃO DIGITAL 440GR/M2, 1440 DPI, 3,00X1,00 M COM ACABAMENTO DE BASTÃO OU ILHOS A CADA 25 CM.</t>
  </si>
  <si>
    <t>M2 - MT PELICULA DE CONTROLE SOLAR - MT PELICULA DE CONTROLE SOLAR PARA VEÍCULOS COM 50% DE VISIBILIDADE COM INSTALAÇÃO.</t>
  </si>
  <si>
    <t>UN - CAVALETE DE OBRAS - CONFECÇÕES DE CAVALETE DE OBRAS EM ESTRUTURA DE FERRO GALVANIZADO 15X15, CHAPA DE AÇO 20 COM MEDIDA DE 1,20 X1,00 DOS DOIS LADOS, COM ADESIVO BRILHO, IMPRESSÃO DIGITAL 4X4, 1440 DPI, 0,08 MM, COM ADESIVO REFLETIVO NA ESCRITA, ATENÇÃO NA COR BRANCA, ADESIVO TRANSPARENTE DE PROTEÇÃO NA COR BRANCA, ADESIVO TRANSPARENTE DE PROTEÇÃO TOTAL NA ESPRESSURA DE 0,10MM.</t>
  </si>
  <si>
    <t>UN - BONECO EM CORTE ROUTER  - FORMATO DE UMA PESSOA PARA SINALIZAÇÃO NA MEDIDA DE 1,80X0, 90M EM ESTRUTURA DE FERRO GALVANIZADO 15X15, CHAPA DE AÇO 20 COM 2 LADOS, COM ADESIVO BRILHO IMPRESSÃO DIGITAL 4X4, 1.4440DPI, 0,080MM. COM ADESIVO REFLETIVO NAS ESCRITAS NA COR BRANCA, ADESIVO TRANSPARENTE DE PROTEÇÃO TOTAL NA ESPESSURA DE 0,10MM.</t>
  </si>
  <si>
    <t>M2 - PELICULA DE CONTROLE SOLAR - PELICULA DE CONTROLE SOLAR COM 50% DE VISIBILIDADE COM INSTALAÇÃO</t>
  </si>
  <si>
    <t>PELZ SERIART</t>
  </si>
  <si>
    <t>QUANT.</t>
  </si>
  <si>
    <t>M²</t>
  </si>
  <si>
    <t>UN</t>
  </si>
  <si>
    <t>CÓPIA&amp;CIA</t>
  </si>
  <si>
    <t xml:space="preserve">PRESS </t>
  </si>
  <si>
    <t>BIRÔERRE</t>
  </si>
  <si>
    <t>MP. COMUM.</t>
  </si>
  <si>
    <t>IN SCREEN</t>
  </si>
  <si>
    <t>MEGA PLOTTER</t>
  </si>
  <si>
    <t>VALOR TOTAL</t>
  </si>
  <si>
    <t>MORAES</t>
  </si>
  <si>
    <t>VALOR MÉDIO</t>
  </si>
  <si>
    <t>MW AUTO CENTER</t>
  </si>
  <si>
    <t xml:space="preserve">VALOR MÉDIO </t>
  </si>
  <si>
    <t>M²- IMRESSÃO EM BANNER 4 CORES</t>
  </si>
  <si>
    <t>OBS: FORAM USADOS COMO PARÂMETRO, OS ORÇAMENTOS DE TODAS AS EMPRESAS.</t>
  </si>
  <si>
    <t xml:space="preserve">Planilha conforme Anexo VII-D da IN 05/2017 </t>
  </si>
  <si>
    <t>Nº Processo</t>
  </si>
  <si>
    <t>Discriminação dos Serviços (dados referentes à contratação)</t>
  </si>
  <si>
    <t>A</t>
  </si>
  <si>
    <t>Data da apresentação da proposta (dia/mês/ano)</t>
  </si>
  <si>
    <t>B</t>
  </si>
  <si>
    <t>Município/UF</t>
  </si>
  <si>
    <t>Balneário Camboriú (SC)</t>
  </si>
  <si>
    <t>C</t>
  </si>
  <si>
    <t>Ano Acordo, Convenção ou Sentença Normativa em Dissídio Coletivo</t>
  </si>
  <si>
    <t>Data de registro no M.T.E</t>
  </si>
  <si>
    <t>E</t>
  </si>
  <si>
    <t>F</t>
  </si>
  <si>
    <t>G</t>
  </si>
  <si>
    <t>H</t>
  </si>
  <si>
    <t>Nº de meses de execução contratual</t>
  </si>
  <si>
    <t>12 meses</t>
  </si>
  <si>
    <t>Identificação do Serviço</t>
  </si>
  <si>
    <t>Tipo de serviço</t>
  </si>
  <si>
    <t>Dados complementares para composição dos custos referentes à mão de obra</t>
  </si>
  <si>
    <t>Salário Normativo da Categoria Profissional</t>
  </si>
  <si>
    <t>Categoria profissional (vinculada à execução contratual)</t>
  </si>
  <si>
    <t>Salário mínimo vigente</t>
  </si>
  <si>
    <t>Módulo 1 - Composição da Remuneração</t>
  </si>
  <si>
    <t xml:space="preserve"> </t>
  </si>
  <si>
    <t>Composição da Remuneração</t>
  </si>
  <si>
    <t>Valor (R$)</t>
  </si>
  <si>
    <t>D</t>
  </si>
  <si>
    <t>Total</t>
  </si>
  <si>
    <t>MÓDULO 02: ENCARGOS E BENEFÍCIOS ANUAIS, MENSAIS E DIÁRIOS</t>
  </si>
  <si>
    <t>Submódulo 2.1 - 13º (décimo terceiro) Salário e Adicional de Férias</t>
  </si>
  <si>
    <t>2.1</t>
  </si>
  <si>
    <t>13º (décimo terceiro) Salário e Adicional de Férias</t>
  </si>
  <si>
    <t>13º (décimo terceiro) Salário</t>
  </si>
  <si>
    <t>Adicional de Férias</t>
  </si>
  <si>
    <t>Submódulo 2.2 - Encargos Previdenciários (GPS), Fundo de Garantia por Tempo de Serviço (FGTS) e outras contribuições.</t>
  </si>
  <si>
    <t>2.2</t>
  </si>
  <si>
    <t>GPS, FGTS e outras contribuições</t>
  </si>
  <si>
    <t>Percentual (%)</t>
  </si>
  <si>
    <t>INSS</t>
  </si>
  <si>
    <t>Salário Educação</t>
  </si>
  <si>
    <t>SAT (RAT 0 x FAP 1)</t>
  </si>
  <si>
    <t>SESC ou SESI</t>
  </si>
  <si>
    <t>SENAI - SENAC</t>
  </si>
  <si>
    <t>SEBRAE</t>
  </si>
  <si>
    <t>INCRA</t>
  </si>
  <si>
    <t>FGTS</t>
  </si>
  <si>
    <t>Submódulo 2.3 - Benefícios Mensais e Diários.</t>
  </si>
  <si>
    <t>2.3</t>
  </si>
  <si>
    <t>Benefícios Mensais e Diários</t>
  </si>
  <si>
    <t>Quadro-Resumo do Módulo 2 - Encargos e Benefícios anuais, mensais e diários</t>
  </si>
  <si>
    <t>Encargos e Benefícios Anuais, Mensais e Diários</t>
  </si>
  <si>
    <t>13º (décimo terceiro) Salário, Adicional de Férias</t>
  </si>
  <si>
    <t>Provisão para Rescisão</t>
  </si>
  <si>
    <t>%</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</si>
  <si>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</si>
  <si>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</si>
  <si>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</si>
  <si>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</si>
  <si>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</si>
  <si>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</si>
  <si>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</si>
  <si>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</si>
  <si>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</si>
  <si>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</si>
  <si>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Férias</t>
  </si>
  <si>
    <t>Licença-Paternidade</t>
  </si>
  <si>
    <t>Ausência por acidente de trabalho</t>
  </si>
  <si>
    <t>Afastamento Maternidade</t>
  </si>
  <si>
    <t>Submódulo 4.2 - Intrajornada</t>
  </si>
  <si>
    <t>4.2</t>
  </si>
  <si>
    <t>Intrajornada</t>
  </si>
  <si>
    <t>Intervalo para repouso ou alimentação</t>
  </si>
  <si>
    <t>Quadro-Resumo do Módulo 4 - Custo de Reposição do Profissional Ausente</t>
  </si>
  <si>
    <t>Custo de Reposição do Profissional Ausente</t>
  </si>
  <si>
    <t>MÓDULO 5 – INSUMOS DIVERSOS</t>
  </si>
  <si>
    <t>Insumos Diversos</t>
  </si>
  <si>
    <t>Módulo 6 - Custos Indiretos, Tributos e Lucro</t>
  </si>
  <si>
    <t>Custos Indiretos, Tributos e Lucro</t>
  </si>
  <si>
    <t xml:space="preserve">Custos Indiretos </t>
  </si>
  <si>
    <t xml:space="preserve">Lucro </t>
  </si>
  <si>
    <t xml:space="preserve">Tributos - Simples Nacional </t>
  </si>
  <si>
    <t>C.1. PIS</t>
  </si>
  <si>
    <t>C.2. COFINS</t>
  </si>
  <si>
    <t>C.3. ISS</t>
  </si>
  <si>
    <t>2. QUADRO-RESUMO DO CUSTO POR EMPREGADO</t>
  </si>
  <si>
    <t>Mão de obra vinculada à execução contratual (valor por empregado)</t>
  </si>
  <si>
    <t>Módulo 2 - Encargos e Benefícios Anuais, Mensais e Diários</t>
  </si>
  <si>
    <t>Módulo 3 - Provisão para Rescisão</t>
  </si>
  <si>
    <t>Módulo 4 - Custo de Reposição do Profissional Ausente</t>
  </si>
  <si>
    <t>Módulo 5 - Insumos Diversos</t>
  </si>
  <si>
    <t>Subtotal (A + B +C+ D+E)</t>
  </si>
  <si>
    <t>Módulo 6 – Custos Indiretos, Tributos e Lucro</t>
  </si>
  <si>
    <t>Valor Total por Empregado</t>
  </si>
  <si>
    <t>Valor total mensal</t>
  </si>
  <si>
    <t>Valor total global</t>
  </si>
  <si>
    <t>Outros</t>
  </si>
  <si>
    <t xml:space="preserve">Asseio, Conservação e Serviços Terceirizados </t>
  </si>
  <si>
    <t>Quantidade de meses</t>
  </si>
  <si>
    <t>Quantidade</t>
  </si>
  <si>
    <t>Incidência 2.2</t>
  </si>
  <si>
    <t>Subtotal</t>
  </si>
  <si>
    <t xml:space="preserve">Base de Cálculo do Custo do Substituto - BCCS = Módulos 1 + 2 + Férias - (V. Transporte e V. Alimentação) + 3 </t>
  </si>
  <si>
    <t>Módulo 1 - Remuneração</t>
  </si>
  <si>
    <t xml:space="preserve">Acréscimo das Férias com incidência do 2.2 </t>
  </si>
  <si>
    <t>Descontos do Vale Transporte e do Vale Alimentação</t>
  </si>
  <si>
    <t>BCCS</t>
  </si>
  <si>
    <t>MÓDULO 3 – PROVISÃO PARA RESCISÃO (95% Trabalhado / 5% indenizado)</t>
  </si>
  <si>
    <t>Auxílio doença</t>
  </si>
  <si>
    <t>Faltas legais</t>
  </si>
  <si>
    <t xml:space="preserve">Transporte </t>
  </si>
  <si>
    <t>Uniformes - EPI´s - Materiais</t>
  </si>
  <si>
    <t>Benefício de assistência ao trabalhador (Cláusula 17º da CCT)</t>
  </si>
  <si>
    <t>Seguro de Vida (Cláusula 15ª da CCT)</t>
  </si>
  <si>
    <t>Cesta Básica (Cláusula 12ª da CCT)</t>
  </si>
  <si>
    <t>Contribuição Assistencial Patronal (Cláusula 46ª da CCT)</t>
  </si>
  <si>
    <t>Vale Alimentação (Cláusula 13ª da CCT)</t>
  </si>
  <si>
    <t>Assiduidade (7%) (Cláusula 11º da CCT)</t>
  </si>
  <si>
    <t>CCT</t>
  </si>
  <si>
    <t>SEAC/SC</t>
  </si>
  <si>
    <t>Jornada de Trabalho</t>
  </si>
  <si>
    <t>Adicional de Insalubridade (20%) - Cláusula 9ª CCT</t>
  </si>
  <si>
    <t>UNIDADE</t>
  </si>
  <si>
    <t>BONÉ</t>
  </si>
  <si>
    <t>PAR</t>
  </si>
  <si>
    <t>CAMISETA MALHA FRIA, COM GOLA ESPORTE E EMBLEMA DA EMPRESA.</t>
  </si>
  <si>
    <t>CALÇA COMPRIDA COM ELÁSTICO E CORDÃO, EM GABARDINE</t>
  </si>
  <si>
    <t>MEIA EM ALGODÃO, TIPO SOQUETE</t>
  </si>
  <si>
    <t>TÊNIS PRETO EM COURO, SOLADO BAIXO, COM PALMILHA ANTIBACTERIANA.</t>
  </si>
  <si>
    <t xml:space="preserve">BOTAS DE BORRACHA </t>
  </si>
  <si>
    <t>LUVAS DE LIMPEZA</t>
  </si>
  <si>
    <t xml:space="preserve">VALOR UNITÁRIO </t>
  </si>
  <si>
    <t xml:space="preserve">MÁSCARA </t>
  </si>
  <si>
    <t>CAPA DE CHUVA COM MANGA E CAPUZ</t>
  </si>
  <si>
    <t>Equipamentos</t>
  </si>
  <si>
    <t>VALOR MENSAL POR FUNCIONÁRIO</t>
  </si>
  <si>
    <t>Salário-Base - Parágrafo sexto CCT</t>
  </si>
  <si>
    <t>CRACHÁ</t>
  </si>
  <si>
    <t>Pessoal Administrativo</t>
  </si>
  <si>
    <t>CAMISA SOCIAL</t>
  </si>
  <si>
    <t>CALÇA SOCIAL</t>
  </si>
  <si>
    <t>Adicional de Periculosidade (30%) - Cláusula 10ª CCT</t>
  </si>
  <si>
    <t>Vale Alimentação (Cláusula 12ª da CCT)</t>
  </si>
  <si>
    <t xml:space="preserve">SAPATO </t>
  </si>
  <si>
    <t>JAQUETA</t>
  </si>
  <si>
    <t>CAPA DE CHUVA</t>
  </si>
  <si>
    <t>TONFA</t>
  </si>
  <si>
    <t>PORTA TONFA</t>
  </si>
  <si>
    <t>LIVRO DE OCORRÊNCIAS</t>
  </si>
  <si>
    <t>CINTO</t>
  </si>
  <si>
    <t>Enfermagem</t>
  </si>
  <si>
    <t xml:space="preserve">Enfermeiro </t>
  </si>
  <si>
    <t xml:space="preserve">Adicional de Insalubridade (20%) </t>
  </si>
  <si>
    <t>FARMACÊUTICO</t>
  </si>
  <si>
    <t>SINDFAR/SC</t>
  </si>
  <si>
    <t>Farmácia</t>
  </si>
  <si>
    <t>Farmacêutico</t>
  </si>
  <si>
    <t xml:space="preserve">Assiduidade </t>
  </si>
  <si>
    <t>Cesta Básica</t>
  </si>
  <si>
    <t xml:space="preserve">Seguro de Vida </t>
  </si>
  <si>
    <t>SINDSAÚDE/SC</t>
  </si>
  <si>
    <t xml:space="preserve">Salário-Base </t>
  </si>
  <si>
    <t>Contribuição Confederativa Patronal (Cláusula 43ª da CCT)</t>
  </si>
  <si>
    <t xml:space="preserve">Auxílio Creche </t>
  </si>
  <si>
    <t>Salário Normativo da Categoria Profissional - Lei nº 14.434/2022</t>
  </si>
  <si>
    <t>Salário-Base Proporcional</t>
  </si>
  <si>
    <t>CCT de Referência</t>
  </si>
  <si>
    <t>CCT de Referêcnia</t>
  </si>
  <si>
    <t>TÉCNICO EM ENFERMAGEM</t>
  </si>
  <si>
    <t>ADMINISTRATIVO</t>
  </si>
  <si>
    <t>VIGIA</t>
  </si>
  <si>
    <t>SERVIÇOS GERAIS</t>
  </si>
  <si>
    <t>PROFISSIONAL</t>
  </si>
  <si>
    <t>QTD</t>
  </si>
  <si>
    <t>REMUNERAÇÃO</t>
  </si>
  <si>
    <t>REMUNERAÇÃO TOTAL</t>
  </si>
  <si>
    <t>REMUNERAÇÃO ANUAL</t>
  </si>
  <si>
    <t xml:space="preserve">AUXILIAR DE SEVIÇOS GERAIS </t>
  </si>
  <si>
    <t>24h</t>
  </si>
  <si>
    <t>Adicional de Hora Noturna Reduzida</t>
  </si>
  <si>
    <t xml:space="preserve">Auxílio Alimentação </t>
  </si>
  <si>
    <t xml:space="preserve">Contribuição Confederativa Patronal </t>
  </si>
  <si>
    <t>Adicional Noturno (40%)</t>
  </si>
  <si>
    <t>Pediatra</t>
  </si>
  <si>
    <t>Transporte (2xVTx) - (6% x SB)</t>
  </si>
  <si>
    <t xml:space="preserve">Auxílio Alimentação (Cláusula 11ª da CCT) valor diário utilizado SEAC </t>
  </si>
  <si>
    <t>44h</t>
  </si>
  <si>
    <t>12x36h</t>
  </si>
  <si>
    <t>Salário-Base - Cláusula 21ª CCT</t>
  </si>
  <si>
    <t>Enfermeiro Noturno</t>
  </si>
  <si>
    <t>Salário Normativo da Categoria Profissional - Lei nº 14.434/2022 - 70%</t>
  </si>
  <si>
    <t>Radiologia</t>
  </si>
  <si>
    <t>Adicional de Insalubridade (40%)  Lei nº 7.394/1985</t>
  </si>
  <si>
    <t>24h/semanais</t>
  </si>
  <si>
    <t>150h</t>
  </si>
  <si>
    <t>Segurança do Trabalho</t>
  </si>
  <si>
    <t>Técnico Segurança do trabalho</t>
  </si>
  <si>
    <t>Assistente Administrativo</t>
  </si>
  <si>
    <t>Recepção</t>
  </si>
  <si>
    <t xml:space="preserve">Adicional Noturno (20%) </t>
  </si>
  <si>
    <t>CLÍNICO GERAL</t>
  </si>
  <si>
    <t>PEDIATRA</t>
  </si>
  <si>
    <t>ENFERMEIRO RT</t>
  </si>
  <si>
    <t>ENFERMEIRO DIURNO</t>
  </si>
  <si>
    <t>ENFERMEIRO NOTURNO</t>
  </si>
  <si>
    <t>TÉCNICO EM ENFERMAGEM NOTURNO</t>
  </si>
  <si>
    <t>TÉCNICO EM RADIOLOGIA</t>
  </si>
  <si>
    <t>TÉCNICO EM RADIOLOGIA NOTURNO</t>
  </si>
  <si>
    <t>TÉCNICO EM SEGURANÇA DO TRABALHO</t>
  </si>
  <si>
    <t>RECEPCIONISTA</t>
  </si>
  <si>
    <t>RECEPCIONISTA NOTURNO</t>
  </si>
  <si>
    <t>VIGIA NOTURNO</t>
  </si>
  <si>
    <t>SERVIÇOS GERAIS NOTURNO</t>
  </si>
  <si>
    <t xml:space="preserve">Contribuição Confederativa Patronal (Cláusula 43ª da CCT) </t>
  </si>
  <si>
    <t>Recepcionista Noturno</t>
  </si>
  <si>
    <t>ASSISTENTE ADMINISTRATIVO - RECEPCIONISTA</t>
  </si>
  <si>
    <t>Adicional Noturno (40%) - Cláusula 10ª CCT + HNR</t>
  </si>
  <si>
    <t>SC000075/2025</t>
  </si>
  <si>
    <t>Salário-base - Prefeitura de Balneário Camboriú 40h</t>
  </si>
  <si>
    <t>Salário-Base proporcional - 30h.</t>
  </si>
  <si>
    <t xml:space="preserve">Auxílio Alimentação (Cláusula 13ª da CCT)  </t>
  </si>
  <si>
    <t xml:space="preserve">Contribuição Confederativa Patronal (Cláusula 44ª da CCT) </t>
  </si>
  <si>
    <t>Salário-base - Lei nº 7.394/1985</t>
  </si>
  <si>
    <t>Auxílio Creche (Cláusula 15ª da CCT)</t>
  </si>
  <si>
    <t xml:space="preserve">Auxílio Alimentação (Cláusula 13ª da CCT) </t>
  </si>
  <si>
    <t xml:space="preserve">Adicional de Insalubridade </t>
  </si>
  <si>
    <t>Adicional Noturno (40%) - Cláusula 12ª CCT + HNR</t>
  </si>
  <si>
    <t>SC002830/2024</t>
  </si>
  <si>
    <t>Auxílio Alimentação - Cláusula 8ª CCT</t>
  </si>
  <si>
    <t xml:space="preserve">Contribuição Negocial Patronal </t>
  </si>
  <si>
    <t>SINVAC</t>
  </si>
  <si>
    <t>SC000247/2025</t>
  </si>
  <si>
    <t>Seguro de Vida (Cláusula 14ª da CCT)</t>
  </si>
  <si>
    <t>Contribuição Assistencial Patronal (Cláusula 53ª da CCT)</t>
  </si>
  <si>
    <t xml:space="preserve">Adicional RT (20%) </t>
  </si>
  <si>
    <t>30h</t>
  </si>
  <si>
    <t>Salário - Prefeitura de Balneário Camboriú</t>
  </si>
  <si>
    <t>Assistente Social</t>
  </si>
  <si>
    <t>Serviço Médico</t>
  </si>
  <si>
    <t>Clínico Geral</t>
  </si>
  <si>
    <t>Salário - Média Pesquisa de Preço</t>
  </si>
  <si>
    <t>ASSISTENTE SOCIAL</t>
  </si>
  <si>
    <t>TÉCNICO EM ENFERMAGEM CME</t>
  </si>
  <si>
    <t xml:space="preserve">Mascara descartável tripla de uso único confeccionado em tecido não tecido </t>
  </si>
  <si>
    <t>Touca confeccionado em tecido não tecido, 100% polipropileno</t>
  </si>
  <si>
    <t>Propé descartável com elástico</t>
  </si>
  <si>
    <t xml:space="preserve">Avental descartável gramatura de 40mg, manga longa (de 70cm a 80cm) </t>
  </si>
  <si>
    <t xml:space="preserve">Sapato de encaixe impermeável </t>
  </si>
  <si>
    <t>Óculos de proteção de sobreposição incolor</t>
  </si>
  <si>
    <t>Luva de procedimento em látex natural</t>
  </si>
  <si>
    <t>Luva de procedimento azul nítrilica, sem talco</t>
  </si>
  <si>
    <t>Crachá</t>
  </si>
  <si>
    <t>Camisa social</t>
  </si>
  <si>
    <t>Calça social ou saia social</t>
  </si>
  <si>
    <t>Sapato social</t>
  </si>
  <si>
    <t>Máscara</t>
  </si>
  <si>
    <t>COLETE SINALIZADOR</t>
  </si>
  <si>
    <t>APITO</t>
  </si>
  <si>
    <t>RÁDIO COMUNICADOR</t>
  </si>
  <si>
    <t>Camisa social ou gola polo com logo da empresa</t>
  </si>
  <si>
    <t>Calça social ou jeans</t>
  </si>
  <si>
    <t>Cinto</t>
  </si>
  <si>
    <t>Blazer ou Jaqueta</t>
  </si>
  <si>
    <t>Máscara descartável</t>
  </si>
  <si>
    <t>VALOR TOTAL MENSAL</t>
  </si>
  <si>
    <t xml:space="preserve"> QUADRO RESUMO DA CONTRATAÇÃO</t>
  </si>
  <si>
    <t>PLANILHA DE CUSTOS E FORMAÇÃO DE PREÇOS</t>
  </si>
  <si>
    <t xml:space="preserve">CUSTO UNIFORMES - EPI - MATERIAIS                                                                      </t>
  </si>
  <si>
    <t>CUSTO UNIFORMES - EPIs</t>
  </si>
  <si>
    <t>CUSTO UNIFORMES - EPI - PROFISSIONAIS DA SAÚDE</t>
  </si>
  <si>
    <t>CUSTO UNIFORMES - EPI - VIGIA</t>
  </si>
  <si>
    <t>Assistência Social</t>
  </si>
  <si>
    <t>Técnico Enfermagem CME</t>
  </si>
  <si>
    <t>Técnico Enfermagem Diurno</t>
  </si>
  <si>
    <t>Técnico Enfermagem Noturno</t>
  </si>
  <si>
    <t>Técnico Radiologia Diurno</t>
  </si>
  <si>
    <t>Técnico Radiologia Noturno</t>
  </si>
  <si>
    <t>Recepcionista Diurno</t>
  </si>
  <si>
    <t>Vigilância</t>
  </si>
  <si>
    <t>Vigia Diurno</t>
  </si>
  <si>
    <t>Vigia Noturno</t>
  </si>
  <si>
    <t>Auxiliar Serviços Gerais Diurno</t>
  </si>
  <si>
    <t xml:space="preserve">Auxiliar Serviços Gerais Noturno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</si>
</sst>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164" formatCode="&quot;R$&quot;\ #,##0.00;[Red]&quot;R$&quot;\ #,##0.00"/>
    <numFmt numFmtId="165" formatCode="* #,##0.00\ ;\-* #,##0.00\ ;* \-#\ ;@\ "/>
    <numFmt numFmtId="166" formatCode="0.00_ "/>
    <numFmt numFmtId="167" formatCode="0.000%"/>
    <numFmt numFmtId="168" formatCode="0.0000%"/>
    <numFmt numFmtId="169" formatCode="_-[$R$-416]\ * #,##0.00_-;\-[$R$-416]\ * #,##0.00_-;_-[$R$-416]\ * &quot;-&quot;??_-;_-@_-"/>
    <numFmt numFmtId="170" formatCode="_-&quot;R$&quot;\ * #,##0.0000_-;\-&quot;R$&quot;\ * #,##0.0000_-;_-&quot;R$&quot;\ * &quot;-&quot;????_-;_-@_-"/>
  </numFmts>
  <fonts count="34" x14ac:knownFonts="1">
    <font>
      <sz val="11"/>
      <color theme="1"/>
      <name val="Calibri"/>
      <family val="2"/>
      <scheme val="minor"/>
    </font>
    <font>
      <b/>
      <sz val="11"/>
      <color rgb="FF000000"/>
      <name val="Calibri"/>
      <family val="2"/>
      <charset val="1"/>
    </font>
    <font>
      <sz val="9"/>
      <color rgb="FF000000"/>
      <name val="Arial"/>
      <family val="2"/>
      <charset val="1"/>
    </font>
    <font>
      <b/>
      <sz val="8"/>
      <color rgb="FF000000"/>
      <name val="Calibri"/>
      <family val="2"/>
      <charset val="1"/>
    </font>
    <font>
      <sz val="8"/>
      <color rgb="FF000000"/>
      <name val="Arial"/>
      <family val="2"/>
      <charset val="1"/>
    </font>
    <font>
      <b/>
      <i/>
      <sz val="8"/>
      <color rgb="FFC00000"/>
      <name val="Arial"/>
      <family val="2"/>
    </font>
    <font>
      <b/>
      <i/>
      <sz val="8"/>
      <color rgb="FFFF0000"/>
      <name val="Arial"/>
      <family val="2"/>
    </font>
    <font>
      <b/>
      <sz val="11"/>
      <color theme="1"/>
      <name val="Calibri"/>
      <family val="2"/>
      <scheme val="minor"/>
    </font>
    <font>
      <b/>
      <sz val="8"/>
      <color rgb="FF000000"/>
      <name val="Arial"/>
      <family val="2"/>
      <charset val="1"/>
    </font>
    <font>
      <b/>
      <i/>
      <sz val="8"/>
      <color rgb="FF000000"/>
      <name val="Arial"/>
      <family val="2"/>
      <charset val="1"/>
    </font>
    <font>
      <b/>
      <sz val="9"/>
      <color rgb="FF000000"/>
      <name val="Arial"/>
      <family val="2"/>
      <charset val="1"/>
    </font>
    <font>
      <b/>
      <i/>
      <sz val="8"/>
      <color rgb="FF000000"/>
      <name val="Arial"/>
      <family val="2"/>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rgb="FF000000"/>
      <name val="Times New Roman"/>
      <family val="1"/>
    </font>
    <font>
      <sz val="10"/>
      <color rgb="FF000000"/>
      <name val="Times New Roman"/>
      <family val="1"/>
    </font>
    <font>
      <b/>
      <sz val="15"/>
      <color theme="1"/>
      <name val="Times New Roman"/>
      <family val="1"/>
    </font>
    <font>
      <b/>
      <sz val="15"/>
      <color rgb="FF000000"/>
      <name val="Times New Roman"/>
      <family val="1"/>
    </font>
    <font>
      <b/>
      <sz val="20"/>
      <color theme="1"/>
      <name val="Times New Roman"/>
      <family val="1"/>
    </font>
    <font>
      <b/>
      <sz val="12"/>
      <color rgb="FF000000"/>
      <name val="Times New Roman"/>
      <family val="1"/>
    </font>
    <font>
      <sz val="10"/>
      <color theme="1"/>
      <name val="Calibri"/>
      <family val="2"/>
      <scheme val="minor"/>
    </font>
    <font>
      <sz val="10"/>
      <color rgb="FFFF0000"/>
      <name val="Times New Roman"/>
      <family val="1"/>
    </font>
    <font>
      <b/>
      <sz val="10"/>
      <color theme="1"/>
      <name val="Arial Narrow"/>
      <family val="2"/>
    </font>
    <font>
      <b/>
      <sz val="10"/>
      <color rgb="FFFF0000"/>
      <name val="Times New Roman"/>
      <family val="1"/>
    </font>
    <font>
      <sz val="10"/>
      <name val="Times New Roman"/>
      <family val="1"/>
    </font>
    <font>
      <b/>
      <sz val="9"/>
      <color theme="1"/>
      <name val="Times New Roman"/>
      <family val="1"/>
    </font>
    <font>
      <sz val="9"/>
      <name val="Times New Roman"/>
      <family val="1"/>
    </font>
    <font>
      <sz val="9"/>
      <color theme="1"/>
      <name val="Times New Roman"/>
      <family val="1"/>
    </font>
    <font>
      <sz val="9"/>
      <color theme="1"/>
      <name val="Calibri"/>
      <family val="2"/>
      <scheme val="minor"/>
    </font>
    <font>
      <sz val="9"/>
      <color rgb="FFFF0000"/>
      <name val="Times New Roman"/>
      <family val="1"/>
    </font>
    <font>
      <b/>
      <sz val="9"/>
      <color rgb="FFFF0000"/>
      <name val="Times New Roman"/>
      <family val="1"/>
    </font>
  </fonts>
  <fills count="25">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CCFF"/>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rgb="FFD9D9D9"/>
        <bgColor rgb="FFDDDDDD"/>
      </patternFill>
    </fill>
    <fill>
      <patternFill patternType="solid">
        <fgColor theme="0"/>
        <bgColor rgb="FFFFFFCC"/>
      </patternFill>
    </fill>
    <fill>
      <patternFill patternType="solid">
        <fgColor theme="0"/>
        <bgColor rgb="FFDDDDDD"/>
      </patternFill>
    </fill>
    <fill>
      <patternFill patternType="solid">
        <fgColor rgb="FFFFFFFF"/>
        <bgColor rgb="FFFFFFCC"/>
      </patternFill>
    </fill>
    <fill>
      <patternFill patternType="solid">
        <fgColor theme="0"/>
        <bgColor rgb="FFFFFF00"/>
      </patternFill>
    </fill>
    <fill>
      <patternFill patternType="solid">
        <fgColor rgb="FFDDDDDD"/>
        <bgColor rgb="FFD9D9D9"/>
      </patternFill>
    </fill>
    <fill>
      <patternFill patternType="solid">
        <fgColor rgb="FFF8CAAC"/>
        <bgColor indexed="64"/>
      </patternFill>
    </fill>
    <fill>
      <patternFill patternType="solid">
        <fgColor theme="0" tint="-0.14999847407452621"/>
        <bgColor rgb="FFDDDDDD"/>
      </patternFill>
    </fill>
    <fill>
      <patternFill patternType="solid">
        <fgColor rgb="FFFFFFFF"/>
        <bgColor indexed="64"/>
      </patternFill>
    </fill>
  </fills>
  <borders count="6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diagonal/>
    </border>
    <border>
      <left/>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medium">
        <color auto="1"/>
      </bottom>
      <diagonal/>
    </border>
    <border>
      <left style="medium">
        <color auto="1"/>
      </left>
      <right style="medium">
        <color auto="1"/>
      </right>
      <top/>
      <bottom style="medium">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medium">
        <color indexed="64"/>
      </right>
      <top style="medium">
        <color indexed="64"/>
      </top>
      <bottom/>
      <diagonal/>
    </border>
    <border>
      <left style="hair">
        <color auto="1"/>
      </left>
      <right/>
      <top style="medium">
        <color auto="1"/>
      </top>
      <bottom style="thin">
        <color indexed="64"/>
      </bottom>
      <diagonal/>
    </border>
    <border>
      <left/>
      <right/>
      <top style="medium">
        <color auto="1"/>
      </top>
      <bottom style="thin">
        <color indexed="64"/>
      </bottom>
      <diagonal/>
    </border>
    <border>
      <left/>
      <right style="hair">
        <color auto="1"/>
      </right>
      <top style="medium">
        <color auto="1"/>
      </top>
      <bottom style="thin">
        <color indexed="64"/>
      </bottom>
      <diagonal/>
    </border>
    <border>
      <left/>
      <right/>
      <top style="thin">
        <color indexed="64"/>
      </top>
      <bottom style="hair">
        <color auto="1"/>
      </bottom>
      <diagonal/>
    </border>
    <border>
      <left style="medium">
        <color indexed="64"/>
      </left>
      <right/>
      <top style="thin">
        <color indexed="64"/>
      </top>
      <bottom style="thin">
        <color indexed="64"/>
      </bottom>
      <diagonal/>
    </border>
    <border>
      <left/>
      <right style="thin">
        <color indexed="64"/>
      </right>
      <top/>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457">
    <xf numFmtId="0" fontId="0" fillId="0" borderId="0" xfId="0"/>
    <xf numFmtId="0" fontId="2" fillId="0" borderId="1" xfId="0" applyFont="1" applyBorder="1" applyAlignment="1">
      <alignment horizontal="center"/>
    </xf>
    <xf numFmtId="0" fontId="3" fillId="0" borderId="1" xfId="0" applyFont="1" applyBorder="1"/>
    <xf numFmtId="0" fontId="4" fillId="0" borderId="1" xfId="0" applyFont="1" applyBorder="1" applyAlignment="1">
      <alignment horizontal="center"/>
    </xf>
    <xf numFmtId="3" fontId="4" fillId="0" borderId="1" xfId="0" applyNumberFormat="1" applyFont="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xf numFmtId="0" fontId="1" fillId="7" borderId="1" xfId="0"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164" fontId="4" fillId="0" borderId="1" xfId="0" applyNumberFormat="1" applyFont="1" applyBorder="1" applyAlignment="1">
      <alignment horizontal="center"/>
    </xf>
    <xf numFmtId="164" fontId="4" fillId="6" borderId="1" xfId="0" applyNumberFormat="1" applyFont="1" applyFill="1" applyBorder="1" applyAlignment="1">
      <alignment horizontal="center"/>
    </xf>
    <xf numFmtId="164" fontId="4" fillId="9" borderId="1" xfId="0" applyNumberFormat="1" applyFont="1" applyFill="1" applyBorder="1" applyAlignment="1">
      <alignment horizontal="center"/>
    </xf>
    <xf numFmtId="164" fontId="4" fillId="10" borderId="1" xfId="0" applyNumberFormat="1" applyFont="1" applyFill="1" applyBorder="1" applyAlignment="1">
      <alignment horizontal="center"/>
    </xf>
    <xf numFmtId="164" fontId="4" fillId="2" borderId="1" xfId="0" applyNumberFormat="1" applyFont="1" applyFill="1" applyBorder="1" applyAlignment="1">
      <alignment horizontal="center"/>
    </xf>
    <xf numFmtId="164" fontId="4" fillId="4" borderId="1" xfId="0" applyNumberFormat="1" applyFont="1" applyFill="1" applyBorder="1" applyAlignment="1">
      <alignment horizontal="center"/>
    </xf>
    <xf numFmtId="164" fontId="4" fillId="11"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0" fillId="12" borderId="1" xfId="0" applyFill="1" applyBorder="1" applyAlignment="1">
      <alignment horizontal="center"/>
    </xf>
    <xf numFmtId="164" fontId="4" fillId="12" borderId="1" xfId="0" applyNumberFormat="1" applyFont="1" applyFill="1" applyBorder="1" applyAlignment="1">
      <alignment horizontal="center"/>
    </xf>
    <xf numFmtId="0" fontId="0" fillId="5" borderId="1" xfId="0" applyFill="1" applyBorder="1" applyAlignment="1">
      <alignment horizontal="center"/>
    </xf>
    <xf numFmtId="164" fontId="6" fillId="9" borderId="1" xfId="0" applyNumberFormat="1" applyFont="1" applyFill="1" applyBorder="1" applyAlignment="1">
      <alignment horizontal="center"/>
    </xf>
    <xf numFmtId="164" fontId="6" fillId="0" borderId="1" xfId="0" applyNumberFormat="1" applyFont="1" applyBorder="1" applyAlignment="1">
      <alignment horizontal="center"/>
    </xf>
    <xf numFmtId="0" fontId="0" fillId="13" borderId="1" xfId="0" applyFill="1" applyBorder="1" applyAlignment="1">
      <alignment horizontal="center"/>
    </xf>
    <xf numFmtId="164" fontId="4" fillId="13" borderId="1" xfId="0" applyNumberFormat="1" applyFont="1" applyFill="1" applyBorder="1" applyAlignment="1">
      <alignment horizontal="center"/>
    </xf>
    <xf numFmtId="0" fontId="2" fillId="0" borderId="0" xfId="0" applyFont="1" applyAlignment="1">
      <alignment horizontal="center"/>
    </xf>
    <xf numFmtId="0" fontId="3" fillId="0" borderId="0" xfId="0" applyFont="1"/>
    <xf numFmtId="0" fontId="4" fillId="0" borderId="0" xfId="0" applyFont="1" applyAlignment="1">
      <alignment horizontal="center"/>
    </xf>
    <xf numFmtId="164" fontId="4" fillId="9" borderId="0" xfId="0" applyNumberFormat="1" applyFont="1" applyFill="1" applyAlignment="1">
      <alignment horizontal="center"/>
    </xf>
    <xf numFmtId="164" fontId="4" fillId="0" borderId="0" xfId="0" applyNumberFormat="1" applyFont="1" applyAlignment="1">
      <alignment horizontal="center"/>
    </xf>
    <xf numFmtId="0" fontId="7" fillId="15" borderId="4" xfId="0" applyFont="1" applyFill="1" applyBorder="1" applyAlignment="1">
      <alignment horizontal="center"/>
    </xf>
    <xf numFmtId="0" fontId="7" fillId="14" borderId="4" xfId="0" applyFont="1" applyFill="1" applyBorder="1" applyAlignment="1">
      <alignment horizontal="center"/>
    </xf>
    <xf numFmtId="0" fontId="9" fillId="14" borderId="12" xfId="0" applyFont="1" applyFill="1" applyBorder="1" applyAlignment="1">
      <alignment horizontal="center"/>
    </xf>
    <xf numFmtId="164" fontId="5" fillId="14" borderId="1" xfId="0" applyNumberFormat="1" applyFont="1" applyFill="1" applyBorder="1" applyAlignment="1">
      <alignment horizontal="center"/>
    </xf>
    <xf numFmtId="164" fontId="5" fillId="14" borderId="7" xfId="0" applyNumberFormat="1" applyFont="1" applyFill="1" applyBorder="1" applyAlignment="1">
      <alignment horizontal="center"/>
    </xf>
    <xf numFmtId="164" fontId="5" fillId="14" borderId="9" xfId="0" applyNumberFormat="1" applyFont="1" applyFill="1" applyBorder="1" applyAlignment="1">
      <alignment horizontal="center"/>
    </xf>
    <xf numFmtId="164" fontId="5" fillId="14" borderId="10" xfId="0" applyNumberFormat="1" applyFont="1" applyFill="1" applyBorder="1" applyAlignment="1">
      <alignment horizontal="center"/>
    </xf>
    <xf numFmtId="0" fontId="1" fillId="14" borderId="1" xfId="0" applyFont="1" applyFill="1" applyBorder="1" applyAlignment="1">
      <alignment horizontal="center"/>
    </xf>
    <xf numFmtId="0" fontId="7" fillId="14" borderId="1" xfId="0" applyFont="1" applyFill="1" applyBorder="1" applyAlignment="1">
      <alignment horizontal="center"/>
    </xf>
    <xf numFmtId="0" fontId="7" fillId="15" borderId="1" xfId="0" applyFont="1" applyFill="1" applyBorder="1" applyAlignment="1">
      <alignment horizontal="center"/>
    </xf>
    <xf numFmtId="0" fontId="7" fillId="14" borderId="2" xfId="0" applyFont="1" applyFill="1" applyBorder="1" applyAlignment="1">
      <alignment horizontal="center"/>
    </xf>
    <xf numFmtId="0" fontId="7" fillId="14" borderId="3" xfId="0" applyFont="1" applyFill="1" applyBorder="1" applyAlignment="1">
      <alignment horizontal="center"/>
    </xf>
    <xf numFmtId="0" fontId="7" fillId="15" borderId="5" xfId="0" applyFont="1" applyFill="1" applyBorder="1" applyAlignment="1">
      <alignment horizontal="center"/>
    </xf>
    <xf numFmtId="0" fontId="7" fillId="0" borderId="0" xfId="0" applyFont="1" applyAlignment="1">
      <alignment horizontal="center"/>
    </xf>
    <xf numFmtId="0" fontId="10" fillId="0" borderId="1" xfId="0" applyFont="1" applyBorder="1" applyAlignment="1">
      <alignment horizontal="center"/>
    </xf>
    <xf numFmtId="0" fontId="8" fillId="14" borderId="1" xfId="0" applyFont="1" applyFill="1" applyBorder="1" applyAlignment="1">
      <alignment horizontal="center"/>
    </xf>
    <xf numFmtId="0" fontId="8" fillId="0" borderId="2" xfId="0" applyFont="1" applyBorder="1" applyAlignment="1">
      <alignment horizontal="center"/>
    </xf>
    <xf numFmtId="0" fontId="7" fillId="0" borderId="0" xfId="0" applyFont="1"/>
    <xf numFmtId="3" fontId="8" fillId="0" borderId="2" xfId="0" applyNumberFormat="1" applyFont="1" applyBorder="1" applyAlignment="1">
      <alignment horizontal="center"/>
    </xf>
    <xf numFmtId="0" fontId="7" fillId="0" borderId="0" xfId="0" applyFont="1" applyAlignment="1">
      <alignment horizontal="left"/>
    </xf>
    <xf numFmtId="4" fontId="7" fillId="0" borderId="0" xfId="0" applyNumberFormat="1" applyFont="1"/>
    <xf numFmtId="164" fontId="11" fillId="9" borderId="6" xfId="0" applyNumberFormat="1" applyFont="1" applyFill="1" applyBorder="1" applyAlignment="1">
      <alignment horizontal="center"/>
    </xf>
    <xf numFmtId="164" fontId="11" fillId="9" borderId="1" xfId="0" applyNumberFormat="1" applyFont="1" applyFill="1" applyBorder="1" applyAlignment="1">
      <alignment horizontal="center"/>
    </xf>
    <xf numFmtId="164" fontId="11" fillId="9" borderId="8" xfId="0" applyNumberFormat="1" applyFont="1" applyFill="1" applyBorder="1" applyAlignment="1">
      <alignment horizontal="center"/>
    </xf>
    <xf numFmtId="164" fontId="11" fillId="9" borderId="9" xfId="0" applyNumberFormat="1" applyFont="1" applyFill="1" applyBorder="1"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1" fillId="14" borderId="1" xfId="0" applyFont="1" applyFill="1" applyBorder="1" applyAlignment="1">
      <alignment horizontal="left"/>
    </xf>
    <xf numFmtId="0" fontId="14" fillId="0" borderId="0" xfId="0" applyFont="1" applyAlignment="1">
      <alignment horizontal="center" vertical="center"/>
    </xf>
    <xf numFmtId="0" fontId="14" fillId="9" borderId="16" xfId="0" applyFont="1" applyFill="1" applyBorder="1" applyAlignment="1">
      <alignment horizontal="center" vertical="center"/>
    </xf>
    <xf numFmtId="0" fontId="16" fillId="0" borderId="16" xfId="0" applyFont="1" applyBorder="1" applyAlignment="1">
      <alignment horizontal="center" vertical="center"/>
    </xf>
    <xf numFmtId="44" fontId="16" fillId="0" borderId="16" xfId="1" applyFont="1" applyBorder="1" applyAlignment="1">
      <alignment horizontal="center" vertical="center"/>
    </xf>
    <xf numFmtId="0" fontId="18" fillId="9" borderId="16" xfId="0" applyFont="1" applyFill="1" applyBorder="1" applyAlignment="1">
      <alignment horizontal="center" vertical="center" wrapText="1"/>
    </xf>
    <xf numFmtId="44" fontId="18" fillId="9" borderId="16" xfId="1" applyFont="1" applyFill="1" applyBorder="1" applyAlignment="1">
      <alignment horizontal="center" vertical="center" wrapText="1"/>
    </xf>
    <xf numFmtId="0" fontId="13" fillId="9" borderId="16" xfId="0" applyFont="1" applyFill="1" applyBorder="1"/>
    <xf numFmtId="44" fontId="14" fillId="9" borderId="16" xfId="1" applyFont="1" applyFill="1" applyBorder="1"/>
    <xf numFmtId="0" fontId="14" fillId="9" borderId="16" xfId="0" applyFont="1" applyFill="1" applyBorder="1"/>
    <xf numFmtId="44" fontId="14" fillId="9" borderId="16" xfId="1" applyFont="1" applyFill="1" applyBorder="1" applyAlignment="1">
      <alignment horizontal="center" vertical="center"/>
    </xf>
    <xf numFmtId="44" fontId="14" fillId="9" borderId="17" xfId="1" applyFont="1" applyFill="1" applyBorder="1"/>
    <xf numFmtId="0" fontId="18" fillId="9" borderId="43" xfId="0" applyFont="1" applyFill="1" applyBorder="1" applyAlignment="1">
      <alignment horizontal="justify" vertical="center" wrapText="1"/>
    </xf>
    <xf numFmtId="44" fontId="14" fillId="9" borderId="44" xfId="1" applyFont="1" applyFill="1" applyBorder="1" applyAlignment="1">
      <alignment horizontal="center" vertical="center"/>
    </xf>
    <xf numFmtId="44" fontId="13" fillId="9" borderId="16" xfId="1" applyFont="1" applyFill="1" applyBorder="1"/>
    <xf numFmtId="44" fontId="13" fillId="9" borderId="17" xfId="1" applyFont="1" applyFill="1" applyBorder="1"/>
    <xf numFmtId="0" fontId="14" fillId="9" borderId="17" xfId="0" applyFont="1" applyFill="1" applyBorder="1"/>
    <xf numFmtId="0" fontId="14" fillId="9" borderId="17" xfId="0" applyFont="1" applyFill="1" applyBorder="1" applyAlignment="1">
      <alignment wrapText="1"/>
    </xf>
    <xf numFmtId="0" fontId="14" fillId="9" borderId="38" xfId="0" applyFont="1" applyFill="1" applyBorder="1"/>
    <xf numFmtId="0" fontId="14" fillId="9" borderId="39" xfId="0" applyFont="1" applyFill="1" applyBorder="1"/>
    <xf numFmtId="0" fontId="13" fillId="9" borderId="0" xfId="0" applyFont="1" applyFill="1" applyAlignment="1">
      <alignment horizontal="right"/>
    </xf>
    <xf numFmtId="44" fontId="13" fillId="9" borderId="0" xfId="1" applyFont="1" applyFill="1" applyBorder="1" applyAlignment="1">
      <alignment horizontal="center" vertical="center"/>
    </xf>
    <xf numFmtId="0" fontId="0" fillId="0" borderId="0" xfId="0" applyAlignment="1">
      <alignment vertical="center" wrapText="1"/>
    </xf>
    <xf numFmtId="0" fontId="17" fillId="24" borderId="0" xfId="0" applyFont="1" applyFill="1" applyAlignment="1">
      <alignment horizontal="center" vertical="center"/>
    </xf>
    <xf numFmtId="0" fontId="17" fillId="24" borderId="0" xfId="0" applyFont="1" applyFill="1" applyAlignment="1">
      <alignment horizontal="right" vertical="center"/>
    </xf>
    <xf numFmtId="0" fontId="18" fillId="24" borderId="0" xfId="0" applyFont="1" applyFill="1" applyAlignment="1">
      <alignment horizontal="center" vertical="center"/>
    </xf>
    <xf numFmtId="0" fontId="18" fillId="24" borderId="0" xfId="0" applyFont="1" applyFill="1" applyAlignment="1">
      <alignment vertical="center"/>
    </xf>
    <xf numFmtId="0" fontId="18" fillId="24" borderId="16" xfId="0" applyFont="1" applyFill="1" applyBorder="1" applyAlignment="1">
      <alignment horizontal="center" vertical="center" wrapText="1"/>
    </xf>
    <xf numFmtId="0" fontId="16" fillId="0" borderId="0" xfId="0" applyFont="1" applyAlignment="1">
      <alignment horizontal="center"/>
    </xf>
    <xf numFmtId="0" fontId="16" fillId="0" borderId="0" xfId="0" applyFont="1"/>
    <xf numFmtId="0" fontId="21" fillId="0" borderId="0" xfId="0" applyFont="1"/>
    <xf numFmtId="44" fontId="16" fillId="0" borderId="44" xfId="1" applyFont="1" applyBorder="1" applyAlignment="1">
      <alignment horizontal="center" vertical="center"/>
    </xf>
    <xf numFmtId="44" fontId="13" fillId="9" borderId="44" xfId="1" applyFont="1" applyFill="1" applyBorder="1" applyAlignment="1">
      <alignment horizontal="center" vertical="center"/>
    </xf>
    <xf numFmtId="44" fontId="13" fillId="9" borderId="47" xfId="1" applyFont="1" applyFill="1" applyBorder="1" applyAlignment="1">
      <alignment horizontal="center" vertical="center"/>
    </xf>
    <xf numFmtId="0" fontId="18" fillId="24" borderId="43" xfId="0" applyFont="1" applyFill="1" applyBorder="1" applyAlignment="1">
      <alignment horizontal="justify" vertical="center" wrapText="1"/>
    </xf>
    <xf numFmtId="44" fontId="18" fillId="24" borderId="16" xfId="1" applyFont="1" applyFill="1" applyBorder="1" applyAlignment="1">
      <alignment horizontal="center" vertical="center" wrapText="1"/>
    </xf>
    <xf numFmtId="44" fontId="18" fillId="24" borderId="44" xfId="1" applyFont="1" applyFill="1" applyBorder="1" applyAlignment="1">
      <alignment horizontal="center" vertical="center"/>
    </xf>
    <xf numFmtId="44" fontId="17" fillId="24" borderId="44" xfId="1" applyFont="1" applyFill="1" applyBorder="1" applyAlignment="1">
      <alignment horizontal="center" vertical="center"/>
    </xf>
    <xf numFmtId="44" fontId="17" fillId="24" borderId="47" xfId="1" applyFont="1" applyFill="1" applyBorder="1" applyAlignment="1">
      <alignment horizontal="center" vertical="center"/>
    </xf>
    <xf numFmtId="44" fontId="16" fillId="0" borderId="0" xfId="0" applyNumberFormat="1" applyFont="1"/>
    <xf numFmtId="0" fontId="15" fillId="0" borderId="41" xfId="0" applyFont="1" applyBorder="1" applyAlignment="1">
      <alignment horizontal="center" vertical="center"/>
    </xf>
    <xf numFmtId="0" fontId="15" fillId="0" borderId="42" xfId="0" applyFont="1" applyBorder="1" applyAlignment="1">
      <alignment horizontal="center" vertical="center"/>
    </xf>
    <xf numFmtId="44" fontId="15" fillId="0" borderId="48" xfId="0" applyNumberFormat="1" applyFont="1" applyBorder="1" applyAlignment="1">
      <alignment vertical="center"/>
    </xf>
    <xf numFmtId="0" fontId="23" fillId="0" borderId="0" xfId="0" applyFont="1"/>
    <xf numFmtId="0" fontId="14" fillId="17" borderId="29" xfId="0" applyFont="1" applyFill="1" applyBorder="1" applyAlignment="1">
      <alignment horizontal="center" vertical="center"/>
    </xf>
    <xf numFmtId="0" fontId="13" fillId="9" borderId="0" xfId="0" applyFont="1" applyFill="1" applyAlignment="1">
      <alignment horizontal="center" vertical="center"/>
    </xf>
    <xf numFmtId="0" fontId="14" fillId="9" borderId="0" xfId="0" applyFont="1" applyFill="1" applyAlignment="1">
      <alignment horizontal="center" vertical="center"/>
    </xf>
    <xf numFmtId="0" fontId="14" fillId="9" borderId="30" xfId="0" applyFont="1" applyFill="1" applyBorder="1" applyAlignment="1">
      <alignment horizontal="center" vertical="center" wrapText="1"/>
    </xf>
    <xf numFmtId="14" fontId="14" fillId="17" borderId="30" xfId="0" applyNumberFormat="1" applyFont="1" applyFill="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19" borderId="16" xfId="0" applyFont="1" applyFill="1" applyBorder="1" applyAlignment="1">
      <alignment horizontal="center" vertical="center" wrapText="1"/>
    </xf>
    <xf numFmtId="169" fontId="14" fillId="19" borderId="16" xfId="0" applyNumberFormat="1" applyFont="1" applyFill="1" applyBorder="1" applyAlignment="1">
      <alignment horizontal="center" vertical="center" wrapText="1"/>
    </xf>
    <xf numFmtId="0" fontId="13" fillId="0" borderId="16" xfId="0" applyFont="1" applyBorder="1" applyAlignment="1">
      <alignment horizontal="center" vertical="center" wrapText="1"/>
    </xf>
    <xf numFmtId="44" fontId="14" fillId="0" borderId="16" xfId="1" applyFont="1" applyBorder="1" applyAlignment="1">
      <alignment horizontal="center" vertical="center" wrapText="1"/>
    </xf>
    <xf numFmtId="44" fontId="14" fillId="0" borderId="16" xfId="0" applyNumberFormat="1" applyFont="1" applyBorder="1" applyAlignment="1">
      <alignment horizontal="center" vertical="center" wrapText="1"/>
    </xf>
    <xf numFmtId="44" fontId="13" fillId="0" borderId="16" xfId="0" applyNumberFormat="1" applyFont="1" applyBorder="1" applyAlignment="1">
      <alignment horizontal="center" vertical="center" wrapText="1"/>
    </xf>
    <xf numFmtId="10" fontId="14" fillId="0" borderId="16" xfId="0" applyNumberFormat="1" applyFont="1" applyBorder="1" applyAlignment="1">
      <alignment horizontal="center" vertical="center"/>
    </xf>
    <xf numFmtId="44" fontId="14"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4" fontId="13" fillId="0" borderId="16" xfId="0" applyNumberFormat="1" applyFont="1" applyBorder="1" applyAlignment="1">
      <alignment horizontal="center" vertical="center"/>
    </xf>
    <xf numFmtId="0" fontId="13" fillId="0" borderId="16" xfId="0" applyFont="1" applyBorder="1" applyAlignment="1">
      <alignment horizontal="center" vertical="center"/>
    </xf>
    <xf numFmtId="10" fontId="14" fillId="0" borderId="16" xfId="0" applyNumberFormat="1" applyFont="1" applyBorder="1" applyAlignment="1">
      <alignment horizontal="center" vertical="center" wrapText="1"/>
    </xf>
    <xf numFmtId="44" fontId="13" fillId="0" borderId="30" xfId="0" applyNumberFormat="1" applyFont="1" applyBorder="1" applyAlignment="1">
      <alignment horizontal="center" vertical="center"/>
    </xf>
    <xf numFmtId="0" fontId="14" fillId="0" borderId="0" xfId="0" applyFont="1" applyAlignment="1">
      <alignment horizontal="center" vertical="center" wrapText="1"/>
    </xf>
    <xf numFmtId="2" fontId="13" fillId="0" borderId="16"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20" borderId="16" xfId="0" applyNumberFormat="1" applyFont="1" applyFill="1" applyBorder="1" applyAlignment="1">
      <alignment horizontal="center" vertical="center" wrapText="1"/>
    </xf>
    <xf numFmtId="10" fontId="24" fillId="22" borderId="16" xfId="0" applyNumberFormat="1" applyFont="1" applyFill="1" applyBorder="1" applyAlignment="1">
      <alignment horizontal="center" vertical="center" wrapText="1"/>
    </xf>
    <xf numFmtId="166" fontId="14" fillId="0" borderId="16" xfId="0" applyNumberFormat="1" applyFont="1" applyBorder="1" applyAlignment="1">
      <alignment horizontal="center" vertical="center" wrapText="1"/>
    </xf>
    <xf numFmtId="0" fontId="25" fillId="0" borderId="0" xfId="0" applyFont="1" applyAlignment="1">
      <alignment horizontal="center" vertical="center"/>
    </xf>
    <xf numFmtId="0" fontId="14" fillId="9" borderId="16" xfId="0" applyFont="1" applyFill="1" applyBorder="1" applyAlignment="1">
      <alignment horizontal="center" vertical="center" wrapText="1"/>
    </xf>
    <xf numFmtId="166" fontId="14" fillId="9" borderId="16" xfId="0" applyNumberFormat="1" applyFont="1" applyFill="1" applyBorder="1" applyAlignment="1">
      <alignment horizontal="center" vertical="center" wrapText="1"/>
    </xf>
    <xf numFmtId="44" fontId="14" fillId="9" borderId="16" xfId="0" applyNumberFormat="1" applyFont="1" applyFill="1" applyBorder="1" applyAlignment="1">
      <alignment horizontal="center" vertical="center"/>
    </xf>
    <xf numFmtId="10" fontId="14" fillId="20" borderId="16" xfId="2" applyNumberFormat="1" applyFont="1" applyFill="1" applyBorder="1" applyAlignment="1" applyProtection="1">
      <alignment horizontal="center" vertical="center" wrapText="1"/>
    </xf>
    <xf numFmtId="44" fontId="14" fillId="20" borderId="16" xfId="0" applyNumberFormat="1" applyFont="1" applyFill="1" applyBorder="1" applyAlignment="1">
      <alignment horizontal="center" vertical="center" wrapText="1"/>
    </xf>
    <xf numFmtId="0" fontId="13" fillId="0" borderId="0" xfId="0" applyFont="1" applyAlignment="1">
      <alignment horizontal="center" vertical="center" wrapText="1"/>
    </xf>
    <xf numFmtId="4" fontId="13" fillId="0" borderId="0" xfId="0" applyNumberFormat="1" applyFont="1" applyAlignment="1">
      <alignment horizontal="center" vertical="center" wrapText="1"/>
    </xf>
    <xf numFmtId="167" fontId="14" fillId="17" borderId="16" xfId="0" applyNumberFormat="1" applyFont="1" applyFill="1" applyBorder="1" applyAlignment="1">
      <alignment horizontal="center" vertical="center"/>
    </xf>
    <xf numFmtId="44" fontId="14" fillId="19" borderId="16" xfId="1" applyFont="1" applyFill="1" applyBorder="1" applyAlignment="1" applyProtection="1">
      <alignment horizontal="center" vertical="center"/>
    </xf>
    <xf numFmtId="168" fontId="14" fillId="17" borderId="16" xfId="0" applyNumberFormat="1" applyFont="1" applyFill="1" applyBorder="1" applyAlignment="1">
      <alignment horizontal="center" vertical="center"/>
    </xf>
    <xf numFmtId="170" fontId="14" fillId="19" borderId="16" xfId="1" applyNumberFormat="1" applyFont="1" applyFill="1" applyBorder="1" applyAlignment="1" applyProtection="1">
      <alignment horizontal="center" vertical="center"/>
    </xf>
    <xf numFmtId="167" fontId="14" fillId="20" borderId="16" xfId="0" applyNumberFormat="1" applyFont="1" applyFill="1" applyBorder="1" applyAlignment="1">
      <alignment horizontal="center" vertical="center"/>
    </xf>
    <xf numFmtId="44" fontId="14" fillId="17" borderId="16" xfId="1" applyFont="1" applyFill="1" applyBorder="1" applyAlignment="1" applyProtection="1">
      <alignment horizontal="center" vertical="center"/>
    </xf>
    <xf numFmtId="167" fontId="14" fillId="9" borderId="16" xfId="0" applyNumberFormat="1" applyFont="1" applyFill="1" applyBorder="1" applyAlignment="1" applyProtection="1">
      <alignment horizontal="center" vertical="center"/>
      <protection locked="0"/>
    </xf>
    <xf numFmtId="10" fontId="14" fillId="20" borderId="16" xfId="0" applyNumberFormat="1" applyFont="1" applyFill="1" applyBorder="1" applyAlignment="1">
      <alignment horizontal="center" vertical="center" wrapText="1"/>
    </xf>
    <xf numFmtId="44" fontId="14" fillId="19" borderId="16" xfId="1" applyFont="1" applyFill="1" applyBorder="1" applyAlignment="1" applyProtection="1">
      <alignment horizontal="center" vertical="center" wrapText="1"/>
    </xf>
    <xf numFmtId="0" fontId="13" fillId="0" borderId="0" xfId="0" applyFont="1" applyAlignment="1">
      <alignment horizontal="center" vertical="center"/>
    </xf>
    <xf numFmtId="4" fontId="13" fillId="0" borderId="0" xfId="0" applyNumberFormat="1" applyFont="1" applyAlignment="1">
      <alignment horizontal="center" vertical="center"/>
    </xf>
    <xf numFmtId="44" fontId="13" fillId="9" borderId="16" xfId="0" applyNumberFormat="1" applyFont="1" applyFill="1" applyBorder="1" applyAlignment="1">
      <alignment horizontal="center" vertical="center"/>
    </xf>
    <xf numFmtId="167" fontId="14" fillId="20" borderId="16" xfId="0" applyNumberFormat="1"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44" fontId="14" fillId="20" borderId="16" xfId="0" applyNumberFormat="1" applyFont="1" applyFill="1" applyBorder="1" applyAlignment="1">
      <alignment horizontal="center" vertical="center"/>
    </xf>
    <xf numFmtId="0" fontId="13" fillId="0" borderId="18"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4" fillId="20" borderId="16" xfId="0" applyFont="1" applyFill="1" applyBorder="1" applyAlignment="1">
      <alignment horizontal="center" vertical="center" wrapText="1"/>
    </xf>
    <xf numFmtId="167" fontId="14" fillId="20" borderId="16" xfId="2" applyNumberFormat="1" applyFont="1" applyFill="1" applyBorder="1" applyAlignment="1" applyProtection="1">
      <alignment horizontal="center" vertical="center"/>
    </xf>
    <xf numFmtId="10" fontId="14" fillId="20" borderId="16" xfId="2" applyNumberFormat="1" applyFont="1" applyFill="1" applyBorder="1" applyAlignment="1" applyProtection="1">
      <alignment horizontal="center" vertical="center"/>
    </xf>
    <xf numFmtId="10" fontId="14" fillId="0" borderId="16" xfId="2" applyNumberFormat="1" applyFont="1" applyBorder="1" applyAlignment="1" applyProtection="1">
      <alignment horizontal="center" vertical="center"/>
    </xf>
    <xf numFmtId="44" fontId="14" fillId="0" borderId="16" xfId="1" applyFont="1" applyBorder="1" applyAlignment="1">
      <alignment horizontal="center" vertical="center"/>
    </xf>
    <xf numFmtId="0" fontId="13" fillId="0" borderId="16" xfId="1" applyNumberFormat="1" applyFont="1" applyBorder="1" applyAlignment="1">
      <alignment horizontal="center" vertical="center"/>
    </xf>
    <xf numFmtId="44" fontId="13" fillId="0" borderId="16" xfId="1" applyFont="1" applyBorder="1" applyAlignment="1">
      <alignment horizontal="center" vertical="center"/>
    </xf>
    <xf numFmtId="44" fontId="14" fillId="20" borderId="16" xfId="1" applyFont="1" applyFill="1" applyBorder="1" applyAlignment="1" applyProtection="1">
      <alignment horizontal="center" vertical="center" wrapText="1"/>
    </xf>
    <xf numFmtId="44" fontId="26" fillId="0" borderId="16" xfId="0" applyNumberFormat="1" applyFont="1" applyBorder="1" applyAlignment="1">
      <alignment horizontal="center" vertical="center"/>
    </xf>
    <xf numFmtId="14" fontId="14" fillId="0" borderId="16" xfId="0" applyNumberFormat="1" applyFont="1" applyBorder="1" applyAlignment="1">
      <alignment horizontal="center" vertical="center"/>
    </xf>
    <xf numFmtId="44" fontId="14" fillId="0" borderId="0" xfId="0" applyNumberFormat="1" applyFont="1" applyAlignment="1">
      <alignment horizontal="center" vertical="center"/>
    </xf>
    <xf numFmtId="44" fontId="13" fillId="0" borderId="0" xfId="0" applyNumberFormat="1" applyFont="1" applyAlignment="1">
      <alignment horizontal="center" vertical="center"/>
    </xf>
    <xf numFmtId="0" fontId="14" fillId="0" borderId="0" xfId="0" applyFont="1" applyAlignment="1">
      <alignment horizontal="left" vertical="center"/>
    </xf>
    <xf numFmtId="0" fontId="16" fillId="0" borderId="39" xfId="0" applyFont="1" applyBorder="1" applyAlignment="1">
      <alignment horizontal="center" vertical="center"/>
    </xf>
    <xf numFmtId="44" fontId="15" fillId="0" borderId="52" xfId="0" applyNumberFormat="1" applyFont="1" applyBorder="1" applyAlignment="1">
      <alignment horizontal="center" vertical="center"/>
    </xf>
    <xf numFmtId="9" fontId="14" fillId="9" borderId="16" xfId="2" applyFont="1" applyFill="1" applyBorder="1" applyAlignment="1">
      <alignment horizontal="center" vertical="center" wrapText="1"/>
    </xf>
    <xf numFmtId="0" fontId="14" fillId="17" borderId="16" xfId="0" applyFont="1" applyFill="1" applyBorder="1" applyAlignment="1">
      <alignment horizontal="center" vertical="center"/>
    </xf>
    <xf numFmtId="0" fontId="13" fillId="9" borderId="16" xfId="0" applyFont="1" applyFill="1" applyBorder="1" applyAlignment="1">
      <alignment horizontal="center" vertical="center"/>
    </xf>
    <xf numFmtId="14" fontId="14" fillId="17" borderId="16" xfId="0" applyNumberFormat="1" applyFont="1" applyFill="1" applyBorder="1" applyAlignment="1">
      <alignment horizontal="center" vertical="center"/>
    </xf>
    <xf numFmtId="4" fontId="13" fillId="0" borderId="16" xfId="0" applyNumberFormat="1" applyFont="1" applyBorder="1" applyAlignment="1">
      <alignment horizontal="center" vertical="center" wrapText="1"/>
    </xf>
    <xf numFmtId="4" fontId="13" fillId="0" borderId="16" xfId="0" applyNumberFormat="1" applyFont="1" applyBorder="1" applyAlignment="1">
      <alignment horizontal="center" vertical="center"/>
    </xf>
    <xf numFmtId="169" fontId="14" fillId="20" borderId="16" xfId="1" applyNumberFormat="1" applyFont="1" applyFill="1" applyBorder="1" applyAlignment="1" applyProtection="1">
      <alignment horizontal="center" vertical="center" wrapText="1"/>
    </xf>
    <xf numFmtId="0" fontId="18" fillId="0" borderId="0" xfId="0" applyFont="1" applyAlignment="1">
      <alignment horizontal="center" vertical="center"/>
    </xf>
    <xf numFmtId="44" fontId="14" fillId="9" borderId="16" xfId="1" applyFont="1" applyFill="1" applyBorder="1" applyAlignment="1">
      <alignment horizontal="center" vertical="center" wrapText="1"/>
    </xf>
    <xf numFmtId="0" fontId="23" fillId="0" borderId="0" xfId="0" applyFont="1" applyAlignment="1">
      <alignment horizontal="center" vertical="center"/>
    </xf>
    <xf numFmtId="44" fontId="23" fillId="0" borderId="0" xfId="0" applyNumberFormat="1" applyFont="1"/>
    <xf numFmtId="0" fontId="15" fillId="0" borderId="21" xfId="0" applyFont="1" applyBorder="1" applyAlignment="1">
      <alignment horizontal="center" vertical="center"/>
    </xf>
    <xf numFmtId="0" fontId="14" fillId="9" borderId="0" xfId="0" applyFont="1" applyFill="1" applyAlignment="1">
      <alignment horizontal="center"/>
    </xf>
    <xf numFmtId="0" fontId="14" fillId="9" borderId="0" xfId="0" applyFont="1" applyFill="1"/>
    <xf numFmtId="0" fontId="30" fillId="17" borderId="29" xfId="0" applyFont="1" applyFill="1" applyBorder="1" applyAlignment="1">
      <alignment horizontal="center" vertical="center"/>
    </xf>
    <xf numFmtId="0" fontId="28" fillId="9" borderId="0" xfId="0" applyFont="1" applyFill="1" applyAlignment="1">
      <alignment horizontal="center" vertical="center"/>
    </xf>
    <xf numFmtId="0" fontId="30" fillId="9" borderId="0" xfId="0" applyFont="1" applyFill="1" applyAlignment="1">
      <alignment horizontal="center" vertical="center"/>
    </xf>
    <xf numFmtId="0" fontId="30" fillId="9" borderId="30" xfId="0" applyFont="1" applyFill="1" applyBorder="1" applyAlignment="1">
      <alignment horizontal="center" vertical="center" wrapText="1"/>
    </xf>
    <xf numFmtId="14" fontId="30" fillId="17" borderId="30" xfId="0" applyNumberFormat="1" applyFont="1" applyFill="1" applyBorder="1" applyAlignment="1">
      <alignment horizontal="center" vertical="center"/>
    </xf>
    <xf numFmtId="0" fontId="30" fillId="0" borderId="16" xfId="0" applyFont="1" applyBorder="1" applyAlignment="1">
      <alignment horizontal="center" vertical="center" wrapText="1"/>
    </xf>
    <xf numFmtId="0" fontId="30" fillId="0" borderId="16" xfId="0" applyFont="1" applyBorder="1" applyAlignment="1">
      <alignment horizontal="center" vertical="center"/>
    </xf>
    <xf numFmtId="0" fontId="30" fillId="19" borderId="16" xfId="0" applyFont="1" applyFill="1" applyBorder="1" applyAlignment="1">
      <alignment horizontal="center" vertical="center" wrapText="1"/>
    </xf>
    <xf numFmtId="0" fontId="31" fillId="0" borderId="0" xfId="0" applyFont="1" applyAlignment="1">
      <alignment horizontal="center" vertical="center"/>
    </xf>
    <xf numFmtId="14" fontId="30" fillId="0" borderId="16" xfId="0" applyNumberFormat="1" applyFont="1" applyBorder="1" applyAlignment="1">
      <alignment horizontal="center" vertical="center"/>
    </xf>
    <xf numFmtId="44" fontId="31" fillId="0" borderId="0" xfId="1" applyFont="1"/>
    <xf numFmtId="169" fontId="30" fillId="19" borderId="16" xfId="0" applyNumberFormat="1" applyFont="1" applyFill="1" applyBorder="1" applyAlignment="1">
      <alignment horizontal="center" vertical="center" wrapText="1"/>
    </xf>
    <xf numFmtId="0" fontId="30" fillId="0" borderId="0" xfId="0" applyFont="1" applyAlignment="1">
      <alignment horizontal="center" vertical="center"/>
    </xf>
    <xf numFmtId="0" fontId="28" fillId="0" borderId="16" xfId="0" applyFont="1" applyBorder="1" applyAlignment="1">
      <alignment horizontal="center" vertical="center" wrapText="1"/>
    </xf>
    <xf numFmtId="44" fontId="30" fillId="0" borderId="16" xfId="0" applyNumberFormat="1" applyFont="1" applyBorder="1" applyAlignment="1">
      <alignment horizontal="center" vertical="center" wrapText="1"/>
    </xf>
    <xf numFmtId="44" fontId="28" fillId="0" borderId="16" xfId="0" applyNumberFormat="1" applyFont="1" applyBorder="1" applyAlignment="1">
      <alignment horizontal="center" vertical="center" wrapText="1"/>
    </xf>
    <xf numFmtId="10" fontId="30" fillId="0" borderId="16" xfId="0" applyNumberFormat="1" applyFont="1" applyBorder="1" applyAlignment="1">
      <alignment horizontal="center" vertical="center"/>
    </xf>
    <xf numFmtId="44" fontId="30" fillId="0" borderId="16" xfId="0" applyNumberFormat="1" applyFont="1" applyBorder="1" applyAlignment="1">
      <alignment horizontal="center" vertical="center"/>
    </xf>
    <xf numFmtId="10" fontId="28" fillId="0" borderId="16" xfId="0" applyNumberFormat="1" applyFont="1" applyBorder="1" applyAlignment="1">
      <alignment horizontal="center" vertical="center"/>
    </xf>
    <xf numFmtId="44" fontId="28" fillId="0" borderId="16" xfId="0" applyNumberFormat="1" applyFont="1" applyBorder="1" applyAlignment="1">
      <alignment horizontal="center" vertical="center"/>
    </xf>
    <xf numFmtId="0" fontId="28" fillId="0" borderId="16" xfId="0" applyFont="1" applyBorder="1" applyAlignment="1">
      <alignment horizontal="center" vertical="center"/>
    </xf>
    <xf numFmtId="10" fontId="30" fillId="0" borderId="16" xfId="0" applyNumberFormat="1" applyFont="1" applyBorder="1" applyAlignment="1">
      <alignment horizontal="center" vertical="center" wrapText="1"/>
    </xf>
    <xf numFmtId="44" fontId="28" fillId="0" borderId="30" xfId="0" applyNumberFormat="1" applyFont="1" applyBorder="1" applyAlignment="1">
      <alignment horizontal="center" vertical="center"/>
    </xf>
    <xf numFmtId="0" fontId="30" fillId="0" borderId="0" xfId="0" applyFont="1" applyAlignment="1">
      <alignment horizontal="center" vertical="center" wrapText="1"/>
    </xf>
    <xf numFmtId="2" fontId="28" fillId="0" borderId="16" xfId="0" applyNumberFormat="1" applyFont="1" applyBorder="1" applyAlignment="1">
      <alignment horizontal="center" vertical="center" wrapText="1"/>
    </xf>
    <xf numFmtId="2" fontId="30" fillId="0" borderId="16" xfId="0" applyNumberFormat="1" applyFont="1" applyBorder="1" applyAlignment="1">
      <alignment horizontal="center" vertical="center" wrapText="1"/>
    </xf>
    <xf numFmtId="2" fontId="30" fillId="20" borderId="16" xfId="0" applyNumberFormat="1" applyFont="1" applyFill="1" applyBorder="1" applyAlignment="1">
      <alignment horizontal="center" vertical="center" wrapText="1"/>
    </xf>
    <xf numFmtId="10" fontId="32" fillId="22" borderId="16" xfId="0" applyNumberFormat="1" applyFont="1" applyFill="1" applyBorder="1" applyAlignment="1">
      <alignment horizontal="center" vertical="center" wrapText="1"/>
    </xf>
    <xf numFmtId="166" fontId="30" fillId="0" borderId="16" xfId="0" applyNumberFormat="1" applyFont="1" applyBorder="1" applyAlignment="1">
      <alignment horizontal="center" vertical="center" wrapText="1"/>
    </xf>
    <xf numFmtId="0" fontId="30" fillId="9" borderId="16" xfId="0" applyFont="1" applyFill="1" applyBorder="1" applyAlignment="1">
      <alignment horizontal="center" vertical="center" wrapText="1"/>
    </xf>
    <xf numFmtId="166" fontId="30" fillId="9" borderId="16" xfId="0" applyNumberFormat="1" applyFont="1" applyFill="1" applyBorder="1" applyAlignment="1">
      <alignment horizontal="center" vertical="center" wrapText="1"/>
    </xf>
    <xf numFmtId="44" fontId="30" fillId="9" borderId="16" xfId="0" applyNumberFormat="1" applyFont="1" applyFill="1" applyBorder="1" applyAlignment="1">
      <alignment horizontal="center" vertical="center"/>
    </xf>
    <xf numFmtId="10" fontId="30" fillId="20" borderId="16" xfId="2" applyNumberFormat="1" applyFont="1" applyFill="1" applyBorder="1" applyAlignment="1" applyProtection="1">
      <alignment horizontal="center" vertical="center" wrapText="1"/>
    </xf>
    <xf numFmtId="44" fontId="30" fillId="20" borderId="16" xfId="0" applyNumberFormat="1" applyFont="1" applyFill="1" applyBorder="1" applyAlignment="1">
      <alignment horizontal="center" vertical="center" wrapText="1"/>
    </xf>
    <xf numFmtId="0" fontId="28" fillId="0" borderId="0" xfId="0" applyFont="1" applyAlignment="1">
      <alignment horizontal="center" vertical="center" wrapText="1"/>
    </xf>
    <xf numFmtId="4" fontId="28" fillId="0" borderId="0" xfId="0" applyNumberFormat="1" applyFont="1" applyAlignment="1">
      <alignment horizontal="center" vertical="center" wrapText="1"/>
    </xf>
    <xf numFmtId="167" fontId="30" fillId="17" borderId="16" xfId="0" applyNumberFormat="1" applyFont="1" applyFill="1" applyBorder="1" applyAlignment="1">
      <alignment horizontal="center" vertical="center"/>
    </xf>
    <xf numFmtId="44" fontId="30" fillId="19" borderId="16" xfId="1" applyFont="1" applyFill="1" applyBorder="1" applyAlignment="1" applyProtection="1">
      <alignment horizontal="center" vertical="center"/>
    </xf>
    <xf numFmtId="168" fontId="30" fillId="17" borderId="16" xfId="0" applyNumberFormat="1" applyFont="1" applyFill="1" applyBorder="1" applyAlignment="1">
      <alignment horizontal="center" vertical="center"/>
    </xf>
    <xf numFmtId="170" fontId="30" fillId="19" borderId="16" xfId="1" applyNumberFormat="1" applyFont="1" applyFill="1" applyBorder="1" applyAlignment="1" applyProtection="1">
      <alignment horizontal="center" vertical="center"/>
    </xf>
    <xf numFmtId="0" fontId="30" fillId="9" borderId="16" xfId="0" applyFont="1" applyFill="1" applyBorder="1" applyAlignment="1">
      <alignment horizontal="center" vertical="center"/>
    </xf>
    <xf numFmtId="167" fontId="30" fillId="20" borderId="16" xfId="0" applyNumberFormat="1" applyFont="1" applyFill="1" applyBorder="1" applyAlignment="1">
      <alignment horizontal="center" vertical="center"/>
    </xf>
    <xf numFmtId="44" fontId="30" fillId="17" borderId="16" xfId="1" applyFont="1" applyFill="1" applyBorder="1" applyAlignment="1" applyProtection="1">
      <alignment horizontal="center" vertical="center"/>
    </xf>
    <xf numFmtId="167" fontId="30" fillId="9" borderId="16" xfId="0" applyNumberFormat="1" applyFont="1" applyFill="1" applyBorder="1" applyAlignment="1" applyProtection="1">
      <alignment horizontal="center" vertical="center"/>
      <protection locked="0"/>
    </xf>
    <xf numFmtId="10" fontId="30" fillId="20" borderId="16" xfId="0" applyNumberFormat="1" applyFont="1" applyFill="1" applyBorder="1" applyAlignment="1">
      <alignment horizontal="center" vertical="center" wrapText="1"/>
    </xf>
    <xf numFmtId="44" fontId="30" fillId="19" borderId="16" xfId="1" applyFont="1" applyFill="1" applyBorder="1" applyAlignment="1" applyProtection="1">
      <alignment horizontal="center" vertical="center" wrapText="1"/>
    </xf>
    <xf numFmtId="0" fontId="28" fillId="0" borderId="0" xfId="0" applyFont="1" applyAlignment="1">
      <alignment horizontal="center" vertical="center"/>
    </xf>
    <xf numFmtId="4" fontId="28" fillId="0" borderId="0" xfId="0" applyNumberFormat="1" applyFont="1" applyAlignment="1">
      <alignment horizontal="center" vertical="center"/>
    </xf>
    <xf numFmtId="44" fontId="28" fillId="9" borderId="16" xfId="0" applyNumberFormat="1" applyFont="1" applyFill="1" applyBorder="1" applyAlignment="1">
      <alignment horizontal="center" vertical="center"/>
    </xf>
    <xf numFmtId="44" fontId="33" fillId="0" borderId="16" xfId="0" applyNumberFormat="1" applyFont="1" applyBorder="1" applyAlignment="1">
      <alignment horizontal="center" vertical="center"/>
    </xf>
    <xf numFmtId="167" fontId="30" fillId="20" borderId="16" xfId="0" applyNumberFormat="1"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7" xfId="0" applyFont="1" applyBorder="1" applyAlignment="1">
      <alignment horizontal="center" vertical="center" wrapText="1"/>
    </xf>
    <xf numFmtId="44" fontId="30" fillId="20" borderId="16" xfId="0" applyNumberFormat="1" applyFont="1" applyFill="1" applyBorder="1" applyAlignment="1">
      <alignment horizontal="center" vertical="center"/>
    </xf>
    <xf numFmtId="0" fontId="28" fillId="0" borderId="18" xfId="0" applyFont="1" applyBorder="1" applyAlignment="1">
      <alignment horizontal="center" vertical="center"/>
    </xf>
    <xf numFmtId="0" fontId="28" fillId="0" borderId="23" xfId="0" applyFont="1" applyBorder="1" applyAlignment="1">
      <alignment horizontal="center" vertical="center"/>
    </xf>
    <xf numFmtId="0" fontId="28" fillId="0" borderId="17" xfId="0" applyFont="1" applyBorder="1" applyAlignment="1">
      <alignment horizontal="center" vertical="center"/>
    </xf>
    <xf numFmtId="0" fontId="30" fillId="20" borderId="16" xfId="0" applyFont="1" applyFill="1" applyBorder="1" applyAlignment="1">
      <alignment horizontal="center" vertical="center" wrapText="1"/>
    </xf>
    <xf numFmtId="167" fontId="30" fillId="20" borderId="16" xfId="2" applyNumberFormat="1" applyFont="1" applyFill="1" applyBorder="1" applyAlignment="1" applyProtection="1">
      <alignment horizontal="center" vertical="center"/>
    </xf>
    <xf numFmtId="10" fontId="30" fillId="20" borderId="16" xfId="2" applyNumberFormat="1" applyFont="1" applyFill="1" applyBorder="1" applyAlignment="1" applyProtection="1">
      <alignment horizontal="center" vertical="center"/>
    </xf>
    <xf numFmtId="10" fontId="30" fillId="0" borderId="16" xfId="2" applyNumberFormat="1" applyFont="1" applyBorder="1" applyAlignment="1" applyProtection="1">
      <alignment horizontal="center" vertical="center"/>
    </xf>
    <xf numFmtId="44" fontId="30" fillId="0" borderId="16" xfId="1" applyFont="1" applyBorder="1" applyAlignment="1">
      <alignment horizontal="center" vertical="center"/>
    </xf>
    <xf numFmtId="0" fontId="28" fillId="0" borderId="16" xfId="1" applyNumberFormat="1" applyFont="1" applyBorder="1" applyAlignment="1">
      <alignment horizontal="center" vertical="center"/>
    </xf>
    <xf numFmtId="44" fontId="28" fillId="0" borderId="16" xfId="1" applyFont="1" applyBorder="1" applyAlignment="1">
      <alignment horizontal="center" vertical="center"/>
    </xf>
    <xf numFmtId="0" fontId="16" fillId="0" borderId="51" xfId="0" applyFont="1" applyBorder="1" applyAlignment="1">
      <alignment horizontal="center"/>
    </xf>
    <xf numFmtId="0" fontId="16" fillId="0" borderId="57" xfId="0" applyFont="1" applyBorder="1" applyAlignment="1">
      <alignment horizontal="center"/>
    </xf>
    <xf numFmtId="0" fontId="16" fillId="0" borderId="62" xfId="0" applyFont="1" applyBorder="1" applyAlignment="1">
      <alignment horizontal="left" vertical="center"/>
    </xf>
    <xf numFmtId="0" fontId="16" fillId="0" borderId="23" xfId="0" applyFont="1" applyBorder="1" applyAlignment="1">
      <alignment horizontal="left" vertical="center"/>
    </xf>
    <xf numFmtId="0" fontId="16" fillId="0" borderId="17" xfId="0" applyFont="1" applyBorder="1" applyAlignment="1">
      <alignment horizontal="left" vertical="center"/>
    </xf>
    <xf numFmtId="44" fontId="16" fillId="0" borderId="18" xfId="1" applyFont="1" applyBorder="1" applyAlignment="1">
      <alignment horizontal="center" vertical="center"/>
    </xf>
    <xf numFmtId="44" fontId="16" fillId="0" borderId="17" xfId="1" applyFont="1" applyBorder="1" applyAlignment="1">
      <alignment horizontal="center" vertical="center"/>
    </xf>
    <xf numFmtId="44" fontId="16" fillId="0" borderId="16" xfId="1" applyFont="1" applyBorder="1" applyAlignment="1">
      <alignment horizontal="center" vertical="center"/>
    </xf>
    <xf numFmtId="0" fontId="16" fillId="0" borderId="43" xfId="0" applyFont="1" applyBorder="1" applyAlignment="1">
      <alignment horizontal="left" vertical="center"/>
    </xf>
    <xf numFmtId="0" fontId="16" fillId="0" borderId="16" xfId="0" applyFont="1" applyBorder="1" applyAlignment="1">
      <alignment horizontal="left"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21" fillId="0" borderId="39" xfId="0" applyFont="1" applyBorder="1" applyAlignment="1">
      <alignment horizontal="center" vertical="center"/>
    </xf>
    <xf numFmtId="0" fontId="16" fillId="0" borderId="0" xfId="0" applyFont="1" applyAlignment="1">
      <alignment horizontal="center"/>
    </xf>
    <xf numFmtId="0" fontId="15" fillId="0" borderId="0" xfId="0" applyFont="1" applyAlignment="1">
      <alignment horizontal="center"/>
    </xf>
    <xf numFmtId="44" fontId="16" fillId="0" borderId="46" xfId="1" applyFont="1" applyBorder="1" applyAlignment="1">
      <alignment horizontal="center" vertical="center"/>
    </xf>
    <xf numFmtId="0" fontId="16" fillId="0" borderId="45" xfId="0" applyFont="1" applyBorder="1" applyAlignment="1">
      <alignment horizontal="left" vertical="center"/>
    </xf>
    <xf numFmtId="0" fontId="16" fillId="0" borderId="46" xfId="0" applyFont="1" applyBorder="1" applyAlignment="1">
      <alignment horizontal="left" vertical="center"/>
    </xf>
    <xf numFmtId="0" fontId="14" fillId="19" borderId="18" xfId="0" applyFont="1" applyFill="1" applyBorder="1" applyAlignment="1">
      <alignment horizontal="center" vertical="center" wrapText="1"/>
    </xf>
    <xf numFmtId="0" fontId="14" fillId="19" borderId="23" xfId="0" applyFont="1" applyFill="1" applyBorder="1" applyAlignment="1">
      <alignment horizontal="center" vertical="center" wrapText="1"/>
    </xf>
    <xf numFmtId="0" fontId="14" fillId="19" borderId="17" xfId="0" applyFont="1" applyFill="1" applyBorder="1" applyAlignment="1">
      <alignment horizontal="center" vertical="center" wrapText="1"/>
    </xf>
    <xf numFmtId="0" fontId="13" fillId="16" borderId="37" xfId="0" applyFont="1" applyFill="1" applyBorder="1" applyAlignment="1">
      <alignment horizontal="center" vertical="center"/>
    </xf>
    <xf numFmtId="0" fontId="14" fillId="19" borderId="16" xfId="0" applyFont="1" applyFill="1" applyBorder="1" applyAlignment="1">
      <alignment horizontal="center" vertical="center" wrapText="1"/>
    </xf>
    <xf numFmtId="0" fontId="14" fillId="19" borderId="19" xfId="0" applyFont="1" applyFill="1" applyBorder="1" applyAlignment="1">
      <alignment horizontal="center" vertical="center" wrapText="1"/>
    </xf>
    <xf numFmtId="0" fontId="14" fillId="19" borderId="20" xfId="0" applyFont="1" applyFill="1" applyBorder="1" applyAlignment="1">
      <alignment horizontal="center" vertical="center" wrapText="1"/>
    </xf>
    <xf numFmtId="0" fontId="13" fillId="16" borderId="21"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3" fillId="21" borderId="24" xfId="0" applyFont="1" applyFill="1" applyBorder="1" applyAlignment="1">
      <alignment horizontal="center" vertical="center" wrapText="1"/>
    </xf>
    <xf numFmtId="0" fontId="13" fillId="21" borderId="25" xfId="0" applyFont="1" applyFill="1" applyBorder="1" applyAlignment="1">
      <alignment horizontal="center" vertical="center" wrapText="1"/>
    </xf>
    <xf numFmtId="0" fontId="13" fillId="21" borderId="26" xfId="0" applyFont="1" applyFill="1" applyBorder="1" applyAlignment="1">
      <alignment horizontal="center" vertical="center" wrapText="1"/>
    </xf>
    <xf numFmtId="0" fontId="13" fillId="21" borderId="31" xfId="0" applyFont="1" applyFill="1" applyBorder="1" applyAlignment="1">
      <alignment horizontal="center" vertical="center" wrapText="1"/>
    </xf>
    <xf numFmtId="0" fontId="13" fillId="21" borderId="23" xfId="0" applyFont="1" applyFill="1" applyBorder="1" applyAlignment="1">
      <alignment horizontal="center" vertical="center" wrapText="1"/>
    </xf>
    <xf numFmtId="0" fontId="13" fillId="21" borderId="32" xfId="0" applyFont="1" applyFill="1" applyBorder="1" applyAlignment="1">
      <alignment horizontal="center" vertical="center" wrapText="1"/>
    </xf>
    <xf numFmtId="0" fontId="13" fillId="0" borderId="16" xfId="0" applyFont="1" applyBorder="1" applyAlignment="1">
      <alignment horizontal="center" vertical="center"/>
    </xf>
    <xf numFmtId="0" fontId="13" fillId="16" borderId="16" xfId="0" applyFont="1" applyFill="1" applyBorder="1" applyAlignment="1">
      <alignment horizontal="center" vertical="center"/>
    </xf>
    <xf numFmtId="0" fontId="13" fillId="7" borderId="16" xfId="0" applyFont="1" applyFill="1" applyBorder="1" applyAlignment="1">
      <alignment horizontal="center" vertical="center"/>
    </xf>
    <xf numFmtId="0" fontId="13" fillId="21" borderId="22" xfId="0" applyFont="1" applyFill="1" applyBorder="1" applyAlignment="1">
      <alignment horizontal="center" vertical="center" wrapText="1"/>
    </xf>
    <xf numFmtId="0" fontId="14" fillId="0" borderId="16" xfId="0" applyFont="1" applyBorder="1" applyAlignment="1">
      <alignment horizontal="center" vertical="center" wrapText="1"/>
    </xf>
    <xf numFmtId="0" fontId="13" fillId="0" borderId="18"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53" xfId="0" applyFont="1" applyBorder="1" applyAlignment="1">
      <alignment horizontal="center" vertical="center" wrapText="1"/>
    </xf>
    <xf numFmtId="165" fontId="14" fillId="9" borderId="19" xfId="0" applyNumberFormat="1" applyFont="1" applyFill="1" applyBorder="1" applyAlignment="1">
      <alignment horizontal="center" vertical="center" wrapText="1"/>
    </xf>
    <xf numFmtId="165" fontId="14" fillId="9" borderId="20"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165" fontId="14" fillId="0" borderId="18" xfId="0" applyNumberFormat="1" applyFont="1" applyBorder="1" applyAlignment="1">
      <alignment horizontal="center" vertical="center" wrapText="1"/>
    </xf>
    <xf numFmtId="165" fontId="14" fillId="0" borderId="17" xfId="0" applyNumberFormat="1" applyFont="1" applyBorder="1" applyAlignment="1">
      <alignment horizontal="center" vertical="center" wrapText="1"/>
    </xf>
    <xf numFmtId="0" fontId="13" fillId="21" borderId="22" xfId="0" applyFont="1" applyFill="1" applyBorder="1" applyAlignment="1">
      <alignment horizontal="center" vertical="center"/>
    </xf>
    <xf numFmtId="0" fontId="14" fillId="0" borderId="16" xfId="0" applyFont="1" applyBorder="1" applyAlignment="1">
      <alignment horizontal="center" vertical="center"/>
    </xf>
    <xf numFmtId="0" fontId="13" fillId="18" borderId="0" xfId="0" applyFont="1" applyFill="1" applyAlignment="1">
      <alignment horizontal="center" vertical="center"/>
    </xf>
    <xf numFmtId="0" fontId="13" fillId="18" borderId="54" xfId="0" applyFont="1" applyFill="1" applyBorder="1" applyAlignment="1">
      <alignment horizontal="center" vertical="center"/>
    </xf>
    <xf numFmtId="0" fontId="13" fillId="18" borderId="55" xfId="0" applyFont="1" applyFill="1" applyBorder="1" applyAlignment="1">
      <alignment horizontal="center" vertical="center"/>
    </xf>
    <xf numFmtId="0" fontId="13" fillId="7" borderId="36" xfId="0" applyFont="1" applyFill="1" applyBorder="1" applyAlignment="1">
      <alignment horizontal="center" vertical="center"/>
    </xf>
    <xf numFmtId="0" fontId="14" fillId="17" borderId="56"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3" fillId="23" borderId="36" xfId="0" applyFont="1" applyFill="1" applyBorder="1" applyAlignment="1">
      <alignment horizontal="center" vertical="center"/>
    </xf>
    <xf numFmtId="0" fontId="13" fillId="21" borderId="33" xfId="0" applyFont="1" applyFill="1" applyBorder="1" applyAlignment="1">
      <alignment horizontal="center" vertical="center" wrapText="1"/>
    </xf>
    <xf numFmtId="0" fontId="13" fillId="21" borderId="34" xfId="0" applyFont="1" applyFill="1" applyBorder="1" applyAlignment="1">
      <alignment horizontal="center" vertical="center" wrapText="1"/>
    </xf>
    <xf numFmtId="0" fontId="13" fillId="21" borderId="35" xfId="0" applyFont="1" applyFill="1" applyBorder="1" applyAlignment="1">
      <alignment horizontal="center" vertical="center" wrapText="1"/>
    </xf>
    <xf numFmtId="0" fontId="13" fillId="16" borderId="18" xfId="0" applyFont="1" applyFill="1" applyBorder="1" applyAlignment="1">
      <alignment horizontal="center" vertical="center"/>
    </xf>
    <xf numFmtId="0" fontId="13" fillId="16" borderId="23" xfId="0" applyFont="1" applyFill="1" applyBorder="1" applyAlignment="1">
      <alignment horizontal="center" vertical="center"/>
    </xf>
    <xf numFmtId="0" fontId="13" fillId="16" borderId="17" xfId="0" applyFont="1" applyFill="1" applyBorder="1" applyAlignment="1">
      <alignment horizontal="center" vertical="center"/>
    </xf>
    <xf numFmtId="0" fontId="14" fillId="0" borderId="61" xfId="0" applyFont="1" applyBorder="1" applyAlignment="1">
      <alignment horizontal="center" vertical="center" wrapText="1"/>
    </xf>
    <xf numFmtId="165" fontId="14" fillId="9" borderId="30" xfId="0" applyNumberFormat="1" applyFont="1" applyFill="1" applyBorder="1" applyAlignment="1">
      <alignment horizontal="center" vertical="center" wrapText="1"/>
    </xf>
    <xf numFmtId="165" fontId="14" fillId="0" borderId="16" xfId="0" applyNumberFormat="1" applyFont="1" applyBorder="1" applyAlignment="1">
      <alignment horizontal="center" vertical="center" wrapText="1"/>
    </xf>
    <xf numFmtId="0" fontId="13" fillId="7" borderId="18" xfId="0" applyFont="1" applyFill="1" applyBorder="1" applyAlignment="1">
      <alignment horizontal="center" vertical="center"/>
    </xf>
    <xf numFmtId="0" fontId="13" fillId="7" borderId="23" xfId="0" applyFont="1" applyFill="1" applyBorder="1" applyAlignment="1">
      <alignment horizontal="center" vertical="center"/>
    </xf>
    <xf numFmtId="0" fontId="13" fillId="7" borderId="17" xfId="0" applyFont="1" applyFill="1" applyBorder="1" applyAlignment="1">
      <alignment horizontal="center" vertical="center"/>
    </xf>
    <xf numFmtId="0" fontId="13" fillId="16" borderId="13" xfId="0" applyFont="1" applyFill="1" applyBorder="1" applyAlignment="1">
      <alignment horizontal="center" vertical="center"/>
    </xf>
    <xf numFmtId="0" fontId="13" fillId="16" borderId="14" xfId="0" applyFont="1" applyFill="1" applyBorder="1" applyAlignment="1">
      <alignment horizontal="center" vertical="center"/>
    </xf>
    <xf numFmtId="0" fontId="13" fillId="16" borderId="15" xfId="0" applyFont="1" applyFill="1" applyBorder="1" applyAlignment="1">
      <alignment horizontal="center" vertical="center"/>
    </xf>
    <xf numFmtId="0" fontId="13" fillId="21" borderId="58" xfId="0" applyFont="1" applyFill="1" applyBorder="1" applyAlignment="1">
      <alignment horizontal="center" vertical="center" wrapText="1"/>
    </xf>
    <xf numFmtId="0" fontId="13" fillId="21" borderId="59" xfId="0" applyFont="1" applyFill="1" applyBorder="1" applyAlignment="1">
      <alignment horizontal="center" vertical="center" wrapText="1"/>
    </xf>
    <xf numFmtId="0" fontId="13" fillId="21" borderId="60" xfId="0" applyFont="1" applyFill="1" applyBorder="1" applyAlignment="1">
      <alignment horizontal="center" vertical="center" wrapText="1"/>
    </xf>
    <xf numFmtId="0" fontId="13" fillId="0" borderId="61" xfId="0" applyFont="1" applyBorder="1" applyAlignment="1">
      <alignment horizontal="center" vertical="center" wrapText="1"/>
    </xf>
    <xf numFmtId="165" fontId="24" fillId="9" borderId="30" xfId="0" applyNumberFormat="1" applyFont="1" applyFill="1" applyBorder="1" applyAlignment="1">
      <alignment horizontal="center" vertical="center" wrapText="1"/>
    </xf>
    <xf numFmtId="0" fontId="24" fillId="17" borderId="56" xfId="0" applyFont="1" applyFill="1" applyBorder="1" applyAlignment="1">
      <alignment horizontal="center" vertical="center" wrapText="1"/>
    </xf>
    <xf numFmtId="0" fontId="24" fillId="17" borderId="28" xfId="0" applyFont="1" applyFill="1" applyBorder="1" applyAlignment="1">
      <alignment horizontal="center" vertical="center" wrapText="1"/>
    </xf>
    <xf numFmtId="0" fontId="13" fillId="21" borderId="16" xfId="0" applyFont="1" applyFill="1" applyBorder="1" applyAlignment="1">
      <alignment horizontal="center" vertical="center" wrapText="1"/>
    </xf>
    <xf numFmtId="0" fontId="13" fillId="21" borderId="16" xfId="0" applyFont="1" applyFill="1" applyBorder="1" applyAlignment="1">
      <alignment horizontal="center" vertical="center"/>
    </xf>
    <xf numFmtId="0" fontId="13" fillId="18" borderId="16" xfId="0" applyFont="1" applyFill="1" applyBorder="1" applyAlignment="1">
      <alignment horizontal="center" vertical="center"/>
    </xf>
    <xf numFmtId="0" fontId="14" fillId="17" borderId="16" xfId="0" applyFont="1" applyFill="1" applyBorder="1" applyAlignment="1">
      <alignment horizontal="center" vertical="center" wrapText="1"/>
    </xf>
    <xf numFmtId="0" fontId="13" fillId="23" borderId="16" xfId="0" applyFont="1" applyFill="1" applyBorder="1" applyAlignment="1">
      <alignment horizontal="center" vertical="center"/>
    </xf>
    <xf numFmtId="165" fontId="14" fillId="9" borderId="16" xfId="0" applyNumberFormat="1" applyFont="1" applyFill="1" applyBorder="1" applyAlignment="1">
      <alignment horizontal="center" vertical="center" wrapText="1"/>
    </xf>
    <xf numFmtId="0" fontId="27" fillId="17" borderId="56" xfId="0" applyFont="1" applyFill="1" applyBorder="1" applyAlignment="1">
      <alignment horizontal="center" vertical="center" wrapText="1"/>
    </xf>
    <xf numFmtId="0" fontId="27" fillId="17" borderId="28" xfId="0" applyFont="1" applyFill="1" applyBorder="1" applyAlignment="1">
      <alignment horizontal="center" vertical="center" wrapText="1"/>
    </xf>
    <xf numFmtId="165" fontId="27" fillId="9" borderId="30" xfId="0" applyNumberFormat="1" applyFont="1" applyFill="1" applyBorder="1" applyAlignment="1">
      <alignment horizontal="center" vertical="center" wrapText="1"/>
    </xf>
    <xf numFmtId="0" fontId="30" fillId="0" borderId="18" xfId="0" applyFont="1" applyBorder="1" applyAlignment="1">
      <alignment horizontal="center" vertical="center" wrapText="1"/>
    </xf>
    <xf numFmtId="0" fontId="30" fillId="0" borderId="17" xfId="0" applyFont="1" applyBorder="1" applyAlignment="1">
      <alignment horizontal="center" vertical="center" wrapText="1"/>
    </xf>
    <xf numFmtId="0" fontId="28" fillId="0" borderId="18" xfId="0" applyFont="1" applyBorder="1" applyAlignment="1">
      <alignment horizontal="center" vertical="center"/>
    </xf>
    <xf numFmtId="0" fontId="28" fillId="0" borderId="23"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7" xfId="0" applyFont="1" applyBorder="1" applyAlignment="1">
      <alignment horizontal="center" vertical="center" wrapText="1"/>
    </xf>
    <xf numFmtId="0" fontId="28" fillId="21" borderId="33" xfId="0" applyFont="1" applyFill="1" applyBorder="1" applyAlignment="1">
      <alignment horizontal="center" vertical="center" wrapText="1"/>
    </xf>
    <xf numFmtId="0" fontId="28" fillId="21" borderId="34" xfId="0" applyFont="1" applyFill="1" applyBorder="1" applyAlignment="1">
      <alignment horizontal="center" vertical="center" wrapText="1"/>
    </xf>
    <xf numFmtId="0" fontId="28" fillId="21" borderId="35" xfId="0" applyFont="1" applyFill="1" applyBorder="1" applyAlignment="1">
      <alignment horizontal="center" vertical="center" wrapText="1"/>
    </xf>
    <xf numFmtId="0" fontId="28" fillId="16" borderId="16" xfId="0" applyFont="1" applyFill="1" applyBorder="1" applyAlignment="1">
      <alignment horizontal="center" vertical="center"/>
    </xf>
    <xf numFmtId="0" fontId="28" fillId="0" borderId="16" xfId="0" applyFont="1" applyBorder="1" applyAlignment="1">
      <alignment horizontal="center" vertical="center"/>
    </xf>
    <xf numFmtId="0" fontId="28" fillId="7" borderId="16" xfId="0" applyFont="1" applyFill="1" applyBorder="1" applyAlignment="1">
      <alignment horizontal="center" vertical="center"/>
    </xf>
    <xf numFmtId="0" fontId="28" fillId="16" borderId="21" xfId="0" applyFont="1" applyFill="1" applyBorder="1" applyAlignment="1">
      <alignment horizontal="center" vertical="center"/>
    </xf>
    <xf numFmtId="0" fontId="28" fillId="21" borderId="22" xfId="0" applyFont="1" applyFill="1" applyBorder="1" applyAlignment="1">
      <alignment horizontal="center" vertical="center" wrapText="1"/>
    </xf>
    <xf numFmtId="0" fontId="28" fillId="21" borderId="31" xfId="0" applyFont="1" applyFill="1" applyBorder="1" applyAlignment="1">
      <alignment horizontal="center" vertical="center" wrapText="1"/>
    </xf>
    <xf numFmtId="0" fontId="28" fillId="21" borderId="23" xfId="0" applyFont="1" applyFill="1" applyBorder="1" applyAlignment="1">
      <alignment horizontal="center" vertical="center" wrapText="1"/>
    </xf>
    <xf numFmtId="0" fontId="28" fillId="21" borderId="32" xfId="0" applyFont="1" applyFill="1" applyBorder="1" applyAlignment="1">
      <alignment horizontal="center" vertical="center" wrapText="1"/>
    </xf>
    <xf numFmtId="0" fontId="28" fillId="21" borderId="24"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26" xfId="0" applyFont="1" applyFill="1" applyBorder="1" applyAlignment="1">
      <alignment horizontal="center" vertical="center" wrapText="1"/>
    </xf>
    <xf numFmtId="0" fontId="28" fillId="0" borderId="53" xfId="0" applyFont="1" applyBorder="1" applyAlignment="1">
      <alignment horizontal="center" vertical="center" wrapText="1"/>
    </xf>
    <xf numFmtId="0" fontId="28" fillId="0" borderId="16" xfId="0" applyFont="1" applyBorder="1" applyAlignment="1">
      <alignment horizontal="center" vertical="center" wrapText="1"/>
    </xf>
    <xf numFmtId="0" fontId="30" fillId="0" borderId="0" xfId="0" applyFont="1" applyAlignment="1">
      <alignment horizontal="center" vertical="center" wrapText="1"/>
    </xf>
    <xf numFmtId="0" fontId="30" fillId="0" borderId="16" xfId="0" applyFont="1" applyBorder="1" applyAlignment="1">
      <alignment horizontal="center" vertical="center" wrapText="1"/>
    </xf>
    <xf numFmtId="0" fontId="30" fillId="19" borderId="16" xfId="0" applyFont="1" applyFill="1" applyBorder="1" applyAlignment="1">
      <alignment horizontal="center" vertical="center" wrapText="1"/>
    </xf>
    <xf numFmtId="0" fontId="28" fillId="21" borderId="22" xfId="0" applyFont="1" applyFill="1" applyBorder="1" applyAlignment="1">
      <alignment horizontal="center" vertical="center"/>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30" fillId="19" borderId="19" xfId="0" applyFont="1" applyFill="1" applyBorder="1" applyAlignment="1">
      <alignment horizontal="center" vertical="center" wrapText="1"/>
    </xf>
    <xf numFmtId="0" fontId="30" fillId="19" borderId="20" xfId="0" applyFont="1" applyFill="1" applyBorder="1" applyAlignment="1">
      <alignment horizontal="center" vertical="center" wrapText="1"/>
    </xf>
    <xf numFmtId="165" fontId="30" fillId="0" borderId="16" xfId="0" applyNumberFormat="1" applyFont="1" applyBorder="1" applyAlignment="1">
      <alignment horizontal="center" vertical="center" wrapText="1"/>
    </xf>
    <xf numFmtId="0" fontId="30" fillId="19" borderId="18" xfId="0" applyFont="1" applyFill="1" applyBorder="1" applyAlignment="1">
      <alignment horizontal="center" vertical="center" wrapText="1"/>
    </xf>
    <xf numFmtId="0" fontId="30" fillId="19" borderId="17" xfId="0" applyFont="1" applyFill="1" applyBorder="1" applyAlignment="1">
      <alignment horizontal="center" vertical="center" wrapText="1"/>
    </xf>
    <xf numFmtId="0" fontId="28" fillId="16" borderId="37" xfId="0" applyFont="1" applyFill="1" applyBorder="1" applyAlignment="1">
      <alignment horizontal="center" vertical="center"/>
    </xf>
    <xf numFmtId="0" fontId="30" fillId="19" borderId="23" xfId="0" applyFont="1" applyFill="1" applyBorder="1" applyAlignment="1">
      <alignment horizontal="center" vertical="center" wrapText="1"/>
    </xf>
    <xf numFmtId="165" fontId="29" fillId="9" borderId="30" xfId="0" applyNumberFormat="1" applyFont="1" applyFill="1" applyBorder="1" applyAlignment="1">
      <alignment horizontal="center" vertical="center" wrapText="1"/>
    </xf>
    <xf numFmtId="0" fontId="28" fillId="18" borderId="0" xfId="0" applyFont="1" applyFill="1" applyAlignment="1">
      <alignment horizontal="center" vertical="center"/>
    </xf>
    <xf numFmtId="0" fontId="28" fillId="18" borderId="54" xfId="0" applyFont="1" applyFill="1" applyBorder="1" applyAlignment="1">
      <alignment horizontal="center" vertical="center"/>
    </xf>
    <xf numFmtId="0" fontId="28" fillId="18" borderId="55" xfId="0" applyFont="1" applyFill="1" applyBorder="1" applyAlignment="1">
      <alignment horizontal="center" vertical="center"/>
    </xf>
    <xf numFmtId="0" fontId="28" fillId="7" borderId="36" xfId="0" applyFont="1" applyFill="1" applyBorder="1" applyAlignment="1">
      <alignment horizontal="center" vertical="center"/>
    </xf>
    <xf numFmtId="0" fontId="29" fillId="17" borderId="56" xfId="0" applyFont="1" applyFill="1" applyBorder="1" applyAlignment="1">
      <alignment horizontal="center" vertical="center" wrapText="1"/>
    </xf>
    <xf numFmtId="0" fontId="29" fillId="17" borderId="28" xfId="0" applyFont="1" applyFill="1" applyBorder="1" applyAlignment="1">
      <alignment horizontal="center" vertical="center" wrapText="1"/>
    </xf>
    <xf numFmtId="0" fontId="28" fillId="23" borderId="36" xfId="0" applyFont="1" applyFill="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32" fillId="17" borderId="56" xfId="0" applyFont="1" applyFill="1" applyBorder="1" applyAlignment="1">
      <alignment horizontal="center" vertical="center" wrapText="1"/>
    </xf>
    <xf numFmtId="0" fontId="32" fillId="17" borderId="28" xfId="0" applyFont="1" applyFill="1" applyBorder="1" applyAlignment="1">
      <alignment horizontal="center" vertical="center" wrapText="1"/>
    </xf>
    <xf numFmtId="165" fontId="32" fillId="9" borderId="30" xfId="0" applyNumberFormat="1" applyFont="1" applyFill="1" applyBorder="1" applyAlignment="1">
      <alignment horizontal="center" vertical="center" wrapText="1"/>
    </xf>
    <xf numFmtId="0" fontId="14" fillId="9" borderId="0" xfId="0" applyFont="1" applyFill="1" applyAlignment="1">
      <alignment horizontal="left" vertical="center" wrapText="1"/>
    </xf>
    <xf numFmtId="0" fontId="14" fillId="9" borderId="0" xfId="0" applyFont="1" applyFill="1" applyAlignment="1">
      <alignment horizontal="left" wrapText="1"/>
    </xf>
    <xf numFmtId="0" fontId="14" fillId="9" borderId="27" xfId="0" applyFont="1" applyFill="1" applyBorder="1" applyAlignment="1">
      <alignment horizontal="center"/>
    </xf>
    <xf numFmtId="0" fontId="14" fillId="9" borderId="28" xfId="0" applyFont="1" applyFill="1" applyBorder="1" applyAlignment="1">
      <alignment horizontal="center"/>
    </xf>
    <xf numFmtId="0" fontId="14" fillId="9" borderId="17" xfId="0" applyFont="1" applyFill="1" applyBorder="1" applyAlignment="1">
      <alignment horizontal="center"/>
    </xf>
    <xf numFmtId="0" fontId="19" fillId="9" borderId="50"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19" fillId="9" borderId="57" xfId="0" applyFont="1" applyFill="1" applyBorder="1" applyAlignment="1">
      <alignment horizontal="center" vertical="center" wrapText="1"/>
    </xf>
    <xf numFmtId="0" fontId="13" fillId="9" borderId="45" xfId="0" applyFont="1" applyFill="1" applyBorder="1" applyAlignment="1">
      <alignment horizontal="right"/>
    </xf>
    <xf numFmtId="0" fontId="13" fillId="9" borderId="46" xfId="0" applyFont="1" applyFill="1" applyBorder="1" applyAlignment="1">
      <alignment horizontal="right"/>
    </xf>
    <xf numFmtId="0" fontId="15" fillId="9" borderId="40" xfId="0" applyFont="1" applyFill="1" applyBorder="1" applyAlignment="1">
      <alignment horizontal="center" vertical="center" wrapText="1"/>
    </xf>
    <xf numFmtId="0" fontId="19" fillId="9" borderId="41" xfId="0" applyFont="1" applyFill="1" applyBorder="1" applyAlignment="1">
      <alignment horizontal="center" vertical="center" wrapText="1"/>
    </xf>
    <xf numFmtId="0" fontId="19" fillId="9" borderId="42" xfId="0" applyFont="1" applyFill="1" applyBorder="1" applyAlignment="1">
      <alignment horizontal="center" vertical="center" wrapText="1"/>
    </xf>
    <xf numFmtId="0" fontId="13" fillId="9" borderId="39" xfId="0" applyFont="1" applyFill="1" applyBorder="1" applyAlignment="1">
      <alignment horizontal="center"/>
    </xf>
    <xf numFmtId="0" fontId="13" fillId="9" borderId="30" xfId="0" applyFont="1" applyFill="1" applyBorder="1" applyAlignment="1">
      <alignment horizontal="center"/>
    </xf>
    <xf numFmtId="0" fontId="13" fillId="9" borderId="49" xfId="0" applyFont="1" applyFill="1" applyBorder="1" applyAlignment="1">
      <alignment horizontal="left"/>
    </xf>
    <xf numFmtId="0" fontId="13" fillId="9" borderId="0" xfId="0" applyFont="1" applyFill="1" applyAlignment="1">
      <alignment horizontal="left"/>
    </xf>
    <xf numFmtId="0" fontId="13" fillId="9" borderId="63" xfId="0" applyFont="1" applyFill="1" applyBorder="1" applyAlignment="1">
      <alignment horizontal="left"/>
    </xf>
    <xf numFmtId="0" fontId="13" fillId="9" borderId="43" xfId="0" applyFont="1" applyFill="1" applyBorder="1" applyAlignment="1">
      <alignment horizontal="right"/>
    </xf>
    <xf numFmtId="0" fontId="13" fillId="9" borderId="16" xfId="0" applyFont="1" applyFill="1" applyBorder="1" applyAlignment="1">
      <alignment horizontal="right"/>
    </xf>
    <xf numFmtId="0" fontId="14" fillId="9" borderId="0" xfId="0" applyFont="1" applyFill="1" applyAlignment="1">
      <alignment horizontal="center"/>
    </xf>
    <xf numFmtId="0" fontId="17" fillId="9" borderId="43"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3" fillId="9" borderId="44" xfId="0" applyFont="1" applyFill="1" applyBorder="1" applyAlignment="1">
      <alignment horizontal="center" vertical="center"/>
    </xf>
    <xf numFmtId="0" fontId="13" fillId="9" borderId="38" xfId="0" applyFont="1" applyFill="1" applyBorder="1" applyAlignment="1">
      <alignment horizontal="center"/>
    </xf>
    <xf numFmtId="0" fontId="13" fillId="9" borderId="29" xfId="0" applyFont="1" applyFill="1" applyBorder="1" applyAlignment="1">
      <alignment horizontal="center"/>
    </xf>
    <xf numFmtId="0" fontId="20" fillId="24" borderId="50" xfId="0" applyFont="1" applyFill="1" applyBorder="1" applyAlignment="1">
      <alignment horizontal="center" vertical="center"/>
    </xf>
    <xf numFmtId="0" fontId="20" fillId="24" borderId="51" xfId="0" applyFont="1" applyFill="1" applyBorder="1" applyAlignment="1">
      <alignment horizontal="center" vertical="center"/>
    </xf>
    <xf numFmtId="0" fontId="20" fillId="24" borderId="57"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41" xfId="0" applyFont="1" applyFill="1" applyBorder="1" applyAlignment="1">
      <alignment horizontal="center" vertical="center"/>
    </xf>
    <xf numFmtId="0" fontId="22" fillId="24" borderId="42" xfId="0" applyFont="1" applyFill="1" applyBorder="1" applyAlignment="1">
      <alignment horizontal="center" vertical="center"/>
    </xf>
    <xf numFmtId="0" fontId="17" fillId="24" borderId="16" xfId="0" applyFont="1" applyFill="1" applyBorder="1" applyAlignment="1">
      <alignment horizontal="center" vertical="center" wrapText="1"/>
    </xf>
    <xf numFmtId="0" fontId="17" fillId="24" borderId="43" xfId="0" applyFont="1" applyFill="1" applyBorder="1" applyAlignment="1">
      <alignment horizontal="center" vertical="center" wrapText="1"/>
    </xf>
    <xf numFmtId="0" fontId="17" fillId="24" borderId="44" xfId="0" applyFont="1" applyFill="1" applyBorder="1" applyAlignment="1">
      <alignment horizontal="center" vertical="center"/>
    </xf>
    <xf numFmtId="0" fontId="18" fillId="24" borderId="0" xfId="0" applyFont="1" applyFill="1" applyAlignment="1">
      <alignment vertical="center" wrapText="1"/>
    </xf>
    <xf numFmtId="0" fontId="17" fillId="24" borderId="43" xfId="0" applyFont="1" applyFill="1" applyBorder="1" applyAlignment="1">
      <alignment horizontal="right" vertical="center"/>
    </xf>
    <xf numFmtId="0" fontId="17" fillId="24" borderId="16" xfId="0" applyFont="1" applyFill="1" applyBorder="1" applyAlignment="1">
      <alignment horizontal="right" vertical="center"/>
    </xf>
    <xf numFmtId="0" fontId="17" fillId="24" borderId="0" xfId="0" applyFont="1" applyFill="1" applyAlignment="1">
      <alignment vertical="center"/>
    </xf>
    <xf numFmtId="0" fontId="18" fillId="24" borderId="0" xfId="0" applyFont="1" applyFill="1" applyAlignment="1">
      <alignment horizontal="center" vertical="center"/>
    </xf>
    <xf numFmtId="0" fontId="17" fillId="24" borderId="45" xfId="0" applyFont="1" applyFill="1" applyBorder="1" applyAlignment="1">
      <alignment horizontal="right" vertical="center"/>
    </xf>
    <xf numFmtId="0" fontId="17" fillId="24" borderId="46" xfId="0" applyFont="1" applyFill="1" applyBorder="1" applyAlignment="1">
      <alignment horizontal="right" vertical="center"/>
    </xf>
    <xf numFmtId="0" fontId="20" fillId="24" borderId="50" xfId="0" applyFont="1" applyFill="1" applyBorder="1" applyAlignment="1">
      <alignment horizontal="center" vertical="center" wrapText="1"/>
    </xf>
    <xf numFmtId="0" fontId="20" fillId="24" borderId="51" xfId="0" applyFont="1" applyFill="1" applyBorder="1" applyAlignment="1">
      <alignment horizontal="center" vertical="center" wrapText="1"/>
    </xf>
    <xf numFmtId="0" fontId="20" fillId="24" borderId="57" xfId="0" applyFont="1" applyFill="1" applyBorder="1" applyAlignment="1">
      <alignment horizontal="center" vertical="center" wrapText="1"/>
    </xf>
    <xf numFmtId="0" fontId="17" fillId="24" borderId="44" xfId="0" applyFont="1" applyFill="1" applyBorder="1" applyAlignment="1">
      <alignment horizontal="center"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99CC"/>
      <color rgb="FFE5C1E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D1F7-6C43-44DA-BDEB-B7C7A787C170}">
  <sheetPr>
    <pageSetUpPr fitToPage="1"/>
  </sheetPr>
  <dimension ref="A1:I27"/>
  <sheetViews>
    <sheetView tabSelected="1" workbookViewId="0">
      <selection activeCell="M14" sqref="M14"/>
    </sheetView>
  </sheetViews>
  <sheetFormatPr defaultRowHeight="24.95" customHeight="1" x14ac:dyDescent="0.25"/>
  <cols>
    <col min="1" max="1" width="9.140625" style="90"/>
    <col min="2" max="2" width="8" style="90" customWidth="1"/>
    <col min="3" max="3" width="29.85546875" style="90" customWidth="1"/>
    <col min="4" max="4" width="5.85546875" style="90" bestFit="1" customWidth="1"/>
    <col min="5" max="5" width="10" style="90" customWidth="1"/>
    <col min="6" max="6" width="10.140625" style="90" customWidth="1"/>
    <col min="7" max="7" width="28" style="90" bestFit="1" customWidth="1"/>
    <col min="8" max="8" width="28.28515625" style="90" bestFit="1" customWidth="1"/>
    <col min="9" max="9" width="12.42578125" style="90" customWidth="1"/>
    <col min="10" max="16384" width="9.140625" style="90"/>
  </cols>
  <sheetData>
    <row r="1" spans="1:9" ht="26.25" customHeight="1" x14ac:dyDescent="0.35">
      <c r="A1" s="267" t="s">
        <v>295</v>
      </c>
      <c r="B1" s="267"/>
      <c r="C1" s="267"/>
      <c r="D1" s="267"/>
      <c r="E1" s="267"/>
      <c r="F1" s="267"/>
      <c r="G1" s="267"/>
      <c r="H1" s="267"/>
      <c r="I1" s="91"/>
    </row>
    <row r="2" spans="1:9" ht="20.100000000000001" customHeight="1" thickBot="1" x14ac:dyDescent="0.3">
      <c r="A2" s="89"/>
      <c r="B2" s="89"/>
      <c r="C2" s="89"/>
      <c r="D2" s="89"/>
      <c r="E2" s="89"/>
      <c r="F2" s="89"/>
    </row>
    <row r="3" spans="1:9" ht="20.100000000000001" customHeight="1" x14ac:dyDescent="0.25">
      <c r="A3" s="265" t="s">
        <v>202</v>
      </c>
      <c r="B3" s="266"/>
      <c r="C3" s="266"/>
      <c r="D3" s="101" t="s">
        <v>203</v>
      </c>
      <c r="E3" s="266" t="s">
        <v>204</v>
      </c>
      <c r="F3" s="266"/>
      <c r="G3" s="101" t="s">
        <v>205</v>
      </c>
      <c r="H3" s="102" t="s">
        <v>206</v>
      </c>
    </row>
    <row r="4" spans="1:9" ht="20.100000000000001" customHeight="1" x14ac:dyDescent="0.25">
      <c r="A4" s="263" t="s">
        <v>231</v>
      </c>
      <c r="B4" s="264"/>
      <c r="C4" s="264"/>
      <c r="D4" s="64">
        <v>2</v>
      </c>
      <c r="E4" s="262">
        <v>164100.38</v>
      </c>
      <c r="F4" s="262"/>
      <c r="G4" s="65">
        <f>E4*2</f>
        <v>328200.76</v>
      </c>
      <c r="H4" s="92">
        <f>G4*12</f>
        <v>3938409.12</v>
      </c>
    </row>
    <row r="5" spans="1:9" ht="20.100000000000001" customHeight="1" x14ac:dyDescent="0.25">
      <c r="A5" s="263" t="s">
        <v>230</v>
      </c>
      <c r="B5" s="264"/>
      <c r="C5" s="264"/>
      <c r="D5" s="64">
        <v>3</v>
      </c>
      <c r="E5" s="262">
        <v>144436.66</v>
      </c>
      <c r="F5" s="262"/>
      <c r="G5" s="65">
        <f>E5*3</f>
        <v>433309.98</v>
      </c>
      <c r="H5" s="92">
        <f>G5*12</f>
        <v>5199719.76</v>
      </c>
    </row>
    <row r="6" spans="1:9" ht="20.100000000000001" customHeight="1" x14ac:dyDescent="0.25">
      <c r="A6" s="263" t="s">
        <v>232</v>
      </c>
      <c r="B6" s="264"/>
      <c r="C6" s="264"/>
      <c r="D6" s="64">
        <v>1</v>
      </c>
      <c r="E6" s="262">
        <v>13851.96</v>
      </c>
      <c r="F6" s="262"/>
      <c r="G6" s="65">
        <f>E6</f>
        <v>13851.96</v>
      </c>
      <c r="H6" s="92">
        <f>E6*12</f>
        <v>166223.51999999999</v>
      </c>
    </row>
    <row r="7" spans="1:9" ht="20.100000000000001" customHeight="1" x14ac:dyDescent="0.25">
      <c r="A7" s="263" t="s">
        <v>233</v>
      </c>
      <c r="B7" s="264"/>
      <c r="C7" s="264"/>
      <c r="D7" s="64">
        <v>8</v>
      </c>
      <c r="E7" s="262">
        <v>11494.2</v>
      </c>
      <c r="F7" s="262"/>
      <c r="G7" s="65">
        <f>E7*8</f>
        <v>91953.600000000006</v>
      </c>
      <c r="H7" s="92">
        <f>G7*12</f>
        <v>1103443.2000000002</v>
      </c>
    </row>
    <row r="8" spans="1:9" ht="20.100000000000001" customHeight="1" x14ac:dyDescent="0.25">
      <c r="A8" s="263" t="s">
        <v>234</v>
      </c>
      <c r="B8" s="264"/>
      <c r="C8" s="264"/>
      <c r="D8" s="64">
        <v>8</v>
      </c>
      <c r="E8" s="262">
        <v>15791.63</v>
      </c>
      <c r="F8" s="262"/>
      <c r="G8" s="65">
        <f>E8*D8</f>
        <v>126333.04</v>
      </c>
      <c r="H8" s="92">
        <f>G8*12</f>
        <v>1515996.48</v>
      </c>
    </row>
    <row r="9" spans="1:9" ht="20.100000000000001" customHeight="1" x14ac:dyDescent="0.25">
      <c r="A9" s="257" t="s">
        <v>271</v>
      </c>
      <c r="B9" s="258"/>
      <c r="C9" s="259"/>
      <c r="D9" s="64">
        <v>1</v>
      </c>
      <c r="E9" s="260">
        <v>14852.66</v>
      </c>
      <c r="F9" s="261"/>
      <c r="G9" s="65">
        <f>E9</f>
        <v>14852.66</v>
      </c>
      <c r="H9" s="92">
        <f>E9*12</f>
        <v>178231.91999999998</v>
      </c>
    </row>
    <row r="10" spans="1:9" ht="20.100000000000001" customHeight="1" x14ac:dyDescent="0.25">
      <c r="A10" s="263" t="s">
        <v>183</v>
      </c>
      <c r="B10" s="264"/>
      <c r="C10" s="264"/>
      <c r="D10" s="64">
        <v>2</v>
      </c>
      <c r="E10" s="262">
        <v>9854.9</v>
      </c>
      <c r="F10" s="262"/>
      <c r="G10" s="65">
        <f>E10*D10</f>
        <v>19709.8</v>
      </c>
      <c r="H10" s="92">
        <f t="shared" ref="H10:H15" si="0">G10*12</f>
        <v>236517.59999999998</v>
      </c>
    </row>
    <row r="11" spans="1:9" ht="20.100000000000001" customHeight="1" x14ac:dyDescent="0.25">
      <c r="A11" s="263" t="s">
        <v>272</v>
      </c>
      <c r="B11" s="264"/>
      <c r="C11" s="264"/>
      <c r="D11" s="64">
        <v>2</v>
      </c>
      <c r="E11" s="260">
        <v>8464.76</v>
      </c>
      <c r="F11" s="261"/>
      <c r="G11" s="65">
        <f>E11*2</f>
        <v>16929.52</v>
      </c>
      <c r="H11" s="92">
        <f t="shared" si="0"/>
        <v>203154.24</v>
      </c>
    </row>
    <row r="12" spans="1:9" ht="20.100000000000001" customHeight="1" x14ac:dyDescent="0.25">
      <c r="A12" s="263" t="s">
        <v>198</v>
      </c>
      <c r="B12" s="264"/>
      <c r="C12" s="264"/>
      <c r="D12" s="64">
        <v>16</v>
      </c>
      <c r="E12" s="262">
        <v>8464.76</v>
      </c>
      <c r="F12" s="262"/>
      <c r="G12" s="65">
        <f>E12*D12</f>
        <v>135436.16</v>
      </c>
      <c r="H12" s="92">
        <f t="shared" si="0"/>
        <v>1625233.92</v>
      </c>
    </row>
    <row r="13" spans="1:9" ht="20.100000000000001" customHeight="1" x14ac:dyDescent="0.25">
      <c r="A13" s="263" t="s">
        <v>235</v>
      </c>
      <c r="B13" s="264"/>
      <c r="C13" s="264"/>
      <c r="D13" s="64">
        <v>14</v>
      </c>
      <c r="E13" s="262">
        <v>11550.41</v>
      </c>
      <c r="F13" s="262"/>
      <c r="G13" s="65">
        <f>E13*D13</f>
        <v>161705.74</v>
      </c>
      <c r="H13" s="92">
        <f t="shared" si="0"/>
        <v>1940468.88</v>
      </c>
    </row>
    <row r="14" spans="1:9" ht="20.100000000000001" customHeight="1" x14ac:dyDescent="0.25">
      <c r="A14" s="257" t="s">
        <v>236</v>
      </c>
      <c r="B14" s="258"/>
      <c r="C14" s="259"/>
      <c r="D14" s="64">
        <v>4</v>
      </c>
      <c r="E14" s="260">
        <v>10596.7</v>
      </c>
      <c r="F14" s="261"/>
      <c r="G14" s="65">
        <f>E14*D14</f>
        <v>42386.8</v>
      </c>
      <c r="H14" s="92">
        <f t="shared" si="0"/>
        <v>508641.60000000003</v>
      </c>
    </row>
    <row r="15" spans="1:9" ht="20.100000000000001" customHeight="1" x14ac:dyDescent="0.25">
      <c r="A15" s="257" t="s">
        <v>237</v>
      </c>
      <c r="B15" s="258"/>
      <c r="C15" s="259"/>
      <c r="D15" s="64">
        <v>4</v>
      </c>
      <c r="E15" s="260">
        <v>13669</v>
      </c>
      <c r="F15" s="261"/>
      <c r="G15" s="65">
        <f>E15*D15</f>
        <v>54676</v>
      </c>
      <c r="H15" s="92">
        <f t="shared" si="0"/>
        <v>656112</v>
      </c>
    </row>
    <row r="16" spans="1:9" ht="20.100000000000001" customHeight="1" x14ac:dyDescent="0.25">
      <c r="A16" s="257" t="s">
        <v>238</v>
      </c>
      <c r="B16" s="258"/>
      <c r="C16" s="259"/>
      <c r="D16" s="64">
        <v>1</v>
      </c>
      <c r="E16" s="260">
        <v>8396.3332722386294</v>
      </c>
      <c r="F16" s="261"/>
      <c r="G16" s="65">
        <f>E16</f>
        <v>8396.3332722386294</v>
      </c>
      <c r="H16" s="92">
        <f>E16*12</f>
        <v>100755.99926686355</v>
      </c>
    </row>
    <row r="17" spans="1:8" ht="20.100000000000001" customHeight="1" x14ac:dyDescent="0.25">
      <c r="A17" s="263" t="s">
        <v>199</v>
      </c>
      <c r="B17" s="264"/>
      <c r="C17" s="264"/>
      <c r="D17" s="64">
        <v>2</v>
      </c>
      <c r="E17" s="262">
        <v>5873.67</v>
      </c>
      <c r="F17" s="262"/>
      <c r="G17" s="65">
        <f t="shared" ref="G17:G23" si="1">E17*D17</f>
        <v>11747.34</v>
      </c>
      <c r="H17" s="92">
        <f t="shared" ref="H17:H23" si="2">G17*12</f>
        <v>140968.08000000002</v>
      </c>
    </row>
    <row r="18" spans="1:8" ht="20.100000000000001" customHeight="1" x14ac:dyDescent="0.25">
      <c r="A18" s="257" t="s">
        <v>239</v>
      </c>
      <c r="B18" s="258"/>
      <c r="C18" s="259"/>
      <c r="D18" s="64">
        <v>4</v>
      </c>
      <c r="E18" s="260">
        <v>5341.27</v>
      </c>
      <c r="F18" s="261"/>
      <c r="G18" s="65">
        <f>D18*E18</f>
        <v>21365.08</v>
      </c>
      <c r="H18" s="92">
        <f t="shared" si="2"/>
        <v>256380.96000000002</v>
      </c>
    </row>
    <row r="19" spans="1:8" ht="20.100000000000001" customHeight="1" x14ac:dyDescent="0.25">
      <c r="A19" s="257" t="s">
        <v>240</v>
      </c>
      <c r="B19" s="258"/>
      <c r="C19" s="259"/>
      <c r="D19" s="64">
        <v>4</v>
      </c>
      <c r="E19" s="260">
        <v>6484.06</v>
      </c>
      <c r="F19" s="261"/>
      <c r="G19" s="65">
        <f t="shared" si="1"/>
        <v>25936.240000000002</v>
      </c>
      <c r="H19" s="92">
        <f t="shared" si="2"/>
        <v>311234.88</v>
      </c>
    </row>
    <row r="20" spans="1:8" ht="20.100000000000001" customHeight="1" x14ac:dyDescent="0.25">
      <c r="A20" s="257" t="s">
        <v>200</v>
      </c>
      <c r="B20" s="258"/>
      <c r="C20" s="259"/>
      <c r="D20" s="64">
        <v>2</v>
      </c>
      <c r="E20" s="260">
        <v>6583.1</v>
      </c>
      <c r="F20" s="261"/>
      <c r="G20" s="65">
        <f t="shared" si="1"/>
        <v>13166.2</v>
      </c>
      <c r="H20" s="92">
        <f t="shared" si="2"/>
        <v>157994.40000000002</v>
      </c>
    </row>
    <row r="21" spans="1:8" ht="20.100000000000001" customHeight="1" x14ac:dyDescent="0.25">
      <c r="A21" s="263" t="s">
        <v>241</v>
      </c>
      <c r="B21" s="264"/>
      <c r="C21" s="264"/>
      <c r="D21" s="64">
        <v>2</v>
      </c>
      <c r="E21" s="262">
        <v>8013.95</v>
      </c>
      <c r="F21" s="262"/>
      <c r="G21" s="65">
        <f t="shared" si="1"/>
        <v>16027.9</v>
      </c>
      <c r="H21" s="92">
        <f t="shared" si="2"/>
        <v>192334.8</v>
      </c>
    </row>
    <row r="22" spans="1:8" ht="20.100000000000001" customHeight="1" x14ac:dyDescent="0.25">
      <c r="A22" s="257" t="s">
        <v>201</v>
      </c>
      <c r="B22" s="258"/>
      <c r="C22" s="259"/>
      <c r="D22" s="173">
        <v>4</v>
      </c>
      <c r="E22" s="260">
        <v>5283.44</v>
      </c>
      <c r="F22" s="261"/>
      <c r="G22" s="65">
        <f t="shared" si="1"/>
        <v>21133.759999999998</v>
      </c>
      <c r="H22" s="92">
        <f t="shared" si="2"/>
        <v>253605.12</v>
      </c>
    </row>
    <row r="23" spans="1:8" ht="20.100000000000001" customHeight="1" thickBot="1" x14ac:dyDescent="0.3">
      <c r="A23" s="271" t="s">
        <v>242</v>
      </c>
      <c r="B23" s="272"/>
      <c r="C23" s="272"/>
      <c r="D23" s="173">
        <v>4</v>
      </c>
      <c r="E23" s="270">
        <v>6361.82</v>
      </c>
      <c r="F23" s="270"/>
      <c r="G23" s="65">
        <f t="shared" si="1"/>
        <v>25447.279999999999</v>
      </c>
      <c r="H23" s="92">
        <f t="shared" si="2"/>
        <v>305367.36</v>
      </c>
    </row>
    <row r="24" spans="1:8" ht="20.100000000000001" customHeight="1" thickBot="1" x14ac:dyDescent="0.3">
      <c r="D24" s="186">
        <f>SUM(D4:D23)</f>
        <v>88</v>
      </c>
      <c r="E24" s="255"/>
      <c r="F24" s="256"/>
      <c r="G24" s="174">
        <f>SUM(G4:G23)</f>
        <v>1582566.1532722388</v>
      </c>
      <c r="H24" s="103">
        <f>SUM(H4:H23)</f>
        <v>18990793.839266855</v>
      </c>
    </row>
    <row r="25" spans="1:8" ht="20.100000000000001" customHeight="1" x14ac:dyDescent="0.25">
      <c r="A25" s="269"/>
      <c r="B25" s="269"/>
      <c r="C25" s="269"/>
      <c r="D25" s="269"/>
    </row>
    <row r="26" spans="1:8" ht="24.95" customHeight="1" x14ac:dyDescent="0.25">
      <c r="D26" s="268"/>
      <c r="E26" s="268"/>
      <c r="F26" s="268"/>
    </row>
    <row r="27" spans="1:8" ht="24.95" customHeight="1" x14ac:dyDescent="0.25">
      <c r="G27" s="100"/>
    </row>
  </sheetData>
  <mergeCells count="46">
    <mergeCell ref="D26:F26"/>
    <mergeCell ref="A25:D25"/>
    <mergeCell ref="E10:F10"/>
    <mergeCell ref="E12:F12"/>
    <mergeCell ref="E13:F13"/>
    <mergeCell ref="E17:F17"/>
    <mergeCell ref="E21:F21"/>
    <mergeCell ref="E23:F23"/>
    <mergeCell ref="A13:C13"/>
    <mergeCell ref="A17:C17"/>
    <mergeCell ref="A21:C21"/>
    <mergeCell ref="A23:C23"/>
    <mergeCell ref="A14:C14"/>
    <mergeCell ref="A15:C15"/>
    <mergeCell ref="E14:F14"/>
    <mergeCell ref="E15:F15"/>
    <mergeCell ref="A3:C3"/>
    <mergeCell ref="E3:F3"/>
    <mergeCell ref="A1:H1"/>
    <mergeCell ref="E4:F4"/>
    <mergeCell ref="E5:F5"/>
    <mergeCell ref="A4:C4"/>
    <mergeCell ref="A5:C5"/>
    <mergeCell ref="E6:F6"/>
    <mergeCell ref="E7:F7"/>
    <mergeCell ref="E8:F8"/>
    <mergeCell ref="A10:C10"/>
    <mergeCell ref="A12:C12"/>
    <mergeCell ref="A6:C6"/>
    <mergeCell ref="A8:C8"/>
    <mergeCell ref="A7:C7"/>
    <mergeCell ref="A9:C9"/>
    <mergeCell ref="A11:C11"/>
    <mergeCell ref="E9:F9"/>
    <mergeCell ref="E11:F11"/>
    <mergeCell ref="E24:F24"/>
    <mergeCell ref="A20:C20"/>
    <mergeCell ref="E20:F20"/>
    <mergeCell ref="E16:F16"/>
    <mergeCell ref="A22:C22"/>
    <mergeCell ref="E22:F22"/>
    <mergeCell ref="A16:C16"/>
    <mergeCell ref="A18:C18"/>
    <mergeCell ref="A19:C19"/>
    <mergeCell ref="E18:F18"/>
    <mergeCell ref="E19:F19"/>
  </mergeCells>
  <pageMargins left="0.511811024" right="0.511811024" top="0.78740157499999996" bottom="0.78740157499999996" header="0.31496062000000002" footer="0.31496062000000002"/>
  <pageSetup paperSize="9" scale="71"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E0C4-B493-4DA9-80E2-78655828E064}">
  <sheetPr>
    <pageSetUpPr fitToPage="1"/>
  </sheetPr>
  <dimension ref="A1:D135"/>
  <sheetViews>
    <sheetView workbookViewId="0">
      <selection activeCell="F22" sqref="F22"/>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ht="12.75" customHeight="1"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ht="12.75" customHeight="1" x14ac:dyDescent="0.2">
      <c r="A13" s="277" t="s">
        <v>48</v>
      </c>
      <c r="B13" s="277"/>
      <c r="C13" s="277"/>
      <c r="D13" s="112" t="s">
        <v>180</v>
      </c>
    </row>
    <row r="14" spans="1:4" ht="12.75" customHeight="1" x14ac:dyDescent="0.2">
      <c r="A14" s="277" t="s">
        <v>150</v>
      </c>
      <c r="B14" s="277"/>
      <c r="C14" s="277"/>
      <c r="D14" s="111" t="s">
        <v>217</v>
      </c>
    </row>
    <row r="15" spans="1:4" x14ac:dyDescent="0.2">
      <c r="A15" s="274"/>
      <c r="B15" s="274"/>
      <c r="C15" s="274"/>
      <c r="D15" s="275"/>
    </row>
    <row r="16" spans="1:4" ht="13.5" thickBot="1" x14ac:dyDescent="0.25">
      <c r="A16" s="276" t="s">
        <v>49</v>
      </c>
      <c r="B16" s="276"/>
      <c r="C16" s="276"/>
      <c r="D16" s="276"/>
    </row>
    <row r="17" spans="1:4" x14ac:dyDescent="0.2">
      <c r="A17" s="110">
        <v>3</v>
      </c>
      <c r="B17" s="278" t="s">
        <v>220</v>
      </c>
      <c r="C17" s="279"/>
      <c r="D17" s="113">
        <v>3325</v>
      </c>
    </row>
    <row r="18" spans="1:4" ht="25.5" x14ac:dyDescent="0.2">
      <c r="A18" s="112">
        <v>4</v>
      </c>
      <c r="B18" s="277" t="s">
        <v>51</v>
      </c>
      <c r="C18" s="277"/>
      <c r="D18" s="112" t="s">
        <v>303</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218</v>
      </c>
      <c r="C23" s="115"/>
      <c r="D23" s="116">
        <f>D17</f>
        <v>3325</v>
      </c>
    </row>
    <row r="24" spans="1:4" x14ac:dyDescent="0.2">
      <c r="A24" s="110" t="s">
        <v>35</v>
      </c>
      <c r="B24" s="110" t="s">
        <v>255</v>
      </c>
      <c r="C24" s="110"/>
      <c r="D24" s="116">
        <f>D19*0.2</f>
        <v>303.60000000000002</v>
      </c>
    </row>
    <row r="25" spans="1:4" x14ac:dyDescent="0.2">
      <c r="A25" s="110" t="s">
        <v>38</v>
      </c>
      <c r="B25" s="110" t="s">
        <v>212</v>
      </c>
      <c r="C25" s="116">
        <v>0</v>
      </c>
      <c r="D25" s="116">
        <f>C25*9/12</f>
        <v>0</v>
      </c>
    </row>
    <row r="26" spans="1:4" x14ac:dyDescent="0.2">
      <c r="A26" s="110" t="s">
        <v>57</v>
      </c>
      <c r="B26" s="110" t="s">
        <v>209</v>
      </c>
      <c r="C26" s="116">
        <v>0</v>
      </c>
      <c r="D26" s="116">
        <f>C26*1.2/12</f>
        <v>0</v>
      </c>
    </row>
    <row r="27" spans="1:4" x14ac:dyDescent="0.2">
      <c r="A27" s="284" t="s">
        <v>58</v>
      </c>
      <c r="B27" s="284"/>
      <c r="C27" s="284"/>
      <c r="D27" s="117">
        <f>SUM(D23:D26)</f>
        <v>3628.6</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302.26238000000001</v>
      </c>
    </row>
    <row r="33" spans="1:4" x14ac:dyDescent="0.2">
      <c r="A33" s="111" t="s">
        <v>35</v>
      </c>
      <c r="B33" s="111" t="s">
        <v>64</v>
      </c>
      <c r="C33" s="118">
        <v>2.7799999999999998E-2</v>
      </c>
      <c r="D33" s="119">
        <f>SUM(D27*C33)</f>
        <v>100.87508</v>
      </c>
    </row>
    <row r="34" spans="1:4" x14ac:dyDescent="0.2">
      <c r="A34" s="305" t="s">
        <v>131</v>
      </c>
      <c r="B34" s="306"/>
      <c r="C34" s="120">
        <f>SUM(C32+C33)</f>
        <v>0.1111</v>
      </c>
      <c r="D34" s="121">
        <f>SUM(D32:D33)</f>
        <v>403.13746000000003</v>
      </c>
    </row>
    <row r="35" spans="1:4" x14ac:dyDescent="0.2">
      <c r="A35" s="313" t="s">
        <v>130</v>
      </c>
      <c r="B35" s="293"/>
      <c r="C35" s="123">
        <f>SUM(C40:C47)</f>
        <v>0.36800000000000005</v>
      </c>
      <c r="D35" s="119">
        <f>SUM(D34*C35)</f>
        <v>148.35458528000004</v>
      </c>
    </row>
    <row r="36" spans="1:4" x14ac:dyDescent="0.2">
      <c r="A36" s="307" t="s">
        <v>58</v>
      </c>
      <c r="B36" s="308"/>
      <c r="C36" s="309"/>
      <c r="D36" s="124">
        <f>SUM(D34+D35)</f>
        <v>551.49204528000007</v>
      </c>
    </row>
    <row r="37" spans="1:4" x14ac:dyDescent="0.2">
      <c r="A37" s="304"/>
      <c r="B37" s="304"/>
      <c r="C37" s="304"/>
      <c r="D37" s="304"/>
    </row>
    <row r="38" spans="1:4" ht="12.75" customHeight="1"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725.72</v>
      </c>
    </row>
    <row r="41" spans="1:4" x14ac:dyDescent="0.2">
      <c r="A41" s="127" t="s">
        <v>35</v>
      </c>
      <c r="B41" s="127" t="s">
        <v>70</v>
      </c>
      <c r="C41" s="123">
        <v>2.5000000000000001E-2</v>
      </c>
      <c r="D41" s="116">
        <f>D27*C41</f>
        <v>90.715000000000003</v>
      </c>
    </row>
    <row r="42" spans="1:4" x14ac:dyDescent="0.2">
      <c r="A42" s="127" t="s">
        <v>38</v>
      </c>
      <c r="B42" s="128" t="s">
        <v>71</v>
      </c>
      <c r="C42" s="129">
        <v>0.03</v>
      </c>
      <c r="D42" s="116">
        <f>D27*C42</f>
        <v>108.85799999999999</v>
      </c>
    </row>
    <row r="43" spans="1:4" x14ac:dyDescent="0.2">
      <c r="A43" s="127" t="s">
        <v>57</v>
      </c>
      <c r="B43" s="127" t="s">
        <v>72</v>
      </c>
      <c r="C43" s="123">
        <v>1.4999999999999999E-2</v>
      </c>
      <c r="D43" s="116">
        <f>D27*C43</f>
        <v>54.428999999999995</v>
      </c>
    </row>
    <row r="44" spans="1:4" x14ac:dyDescent="0.2">
      <c r="A44" s="127" t="s">
        <v>41</v>
      </c>
      <c r="B44" s="127" t="s">
        <v>73</v>
      </c>
      <c r="C44" s="123">
        <v>0.01</v>
      </c>
      <c r="D44" s="116">
        <f>D27*C44</f>
        <v>36.286000000000001</v>
      </c>
    </row>
    <row r="45" spans="1:4" x14ac:dyDescent="0.2">
      <c r="A45" s="127" t="s">
        <v>42</v>
      </c>
      <c r="B45" s="127" t="s">
        <v>74</v>
      </c>
      <c r="C45" s="123">
        <v>6.0000000000000001E-3</v>
      </c>
      <c r="D45" s="116">
        <f>D27*C45</f>
        <v>21.771599999999999</v>
      </c>
    </row>
    <row r="46" spans="1:4" x14ac:dyDescent="0.2">
      <c r="A46" s="127" t="s">
        <v>43</v>
      </c>
      <c r="B46" s="127" t="s">
        <v>75</v>
      </c>
      <c r="C46" s="123">
        <v>2E-3</v>
      </c>
      <c r="D46" s="116">
        <f>D27*C46</f>
        <v>7.2572000000000001</v>
      </c>
    </row>
    <row r="47" spans="1:4" x14ac:dyDescent="0.2">
      <c r="A47" s="127" t="s">
        <v>44</v>
      </c>
      <c r="B47" s="127" t="s">
        <v>76</v>
      </c>
      <c r="C47" s="123">
        <v>0.08</v>
      </c>
      <c r="D47" s="116">
        <f>D27*C47</f>
        <v>290.28800000000001</v>
      </c>
    </row>
    <row r="48" spans="1:4" x14ac:dyDescent="0.2">
      <c r="A48" s="127"/>
      <c r="B48" s="126" t="s">
        <v>58</v>
      </c>
      <c r="C48" s="123">
        <f>SUM(C40:C47)</f>
        <v>0.36800000000000005</v>
      </c>
      <c r="D48" s="117">
        <f>SUM(D40:D47)</f>
        <v>1335.3248000000001</v>
      </c>
    </row>
    <row r="49" spans="1:4" x14ac:dyDescent="0.2">
      <c r="A49" s="304"/>
      <c r="B49" s="304"/>
      <c r="C49" s="304"/>
      <c r="D49" s="304"/>
    </row>
    <row r="50" spans="1:4" s="131" customFormat="1" ht="23.25" customHeight="1" x14ac:dyDescent="0.25">
      <c r="A50" s="296" t="s">
        <v>77</v>
      </c>
      <c r="B50" s="296"/>
      <c r="C50" s="296"/>
      <c r="D50" s="296"/>
    </row>
    <row r="51" spans="1:4" x14ac:dyDescent="0.2">
      <c r="A51" s="114" t="s">
        <v>78</v>
      </c>
      <c r="B51" s="284" t="s">
        <v>79</v>
      </c>
      <c r="C51" s="284"/>
      <c r="D51" s="114" t="s">
        <v>56</v>
      </c>
    </row>
    <row r="52" spans="1:4" x14ac:dyDescent="0.2">
      <c r="A52" s="110" t="s">
        <v>33</v>
      </c>
      <c r="B52" s="110" t="s">
        <v>214</v>
      </c>
      <c r="C52" s="130">
        <v>5.15</v>
      </c>
      <c r="D52" s="119">
        <f>(2*5.15*15.2) - (D20*6%)</f>
        <v>156.56</v>
      </c>
    </row>
    <row r="53" spans="1:4" x14ac:dyDescent="0.2">
      <c r="A53" s="110" t="s">
        <v>35</v>
      </c>
      <c r="B53" s="132" t="s">
        <v>254</v>
      </c>
      <c r="C53" s="133">
        <v>27.29</v>
      </c>
      <c r="D53" s="134">
        <f>(C53*15.2)-142.69</f>
        <v>272.11799999999999</v>
      </c>
    </row>
    <row r="54" spans="1:4" x14ac:dyDescent="0.2">
      <c r="A54" s="110" t="s">
        <v>38</v>
      </c>
      <c r="B54" s="110" t="s">
        <v>243</v>
      </c>
      <c r="C54" s="167">
        <v>0</v>
      </c>
      <c r="D54" s="136">
        <v>49.23</v>
      </c>
    </row>
    <row r="55" spans="1:4" x14ac:dyDescent="0.2">
      <c r="A55" s="284" t="s">
        <v>58</v>
      </c>
      <c r="B55" s="284"/>
      <c r="C55" s="284"/>
      <c r="D55" s="121">
        <f>SUM(D52:D54)</f>
        <v>477.90800000000002</v>
      </c>
    </row>
    <row r="56" spans="1:4" x14ac:dyDescent="0.2">
      <c r="A56" s="327"/>
      <c r="B56" s="327"/>
      <c r="C56" s="327"/>
      <c r="D56" s="327"/>
    </row>
    <row r="57" spans="1:4" ht="12.75" customHeight="1"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D36</f>
        <v>551.49204528000007</v>
      </c>
    </row>
    <row r="60" spans="1:4" x14ac:dyDescent="0.2">
      <c r="A60" s="110" t="s">
        <v>66</v>
      </c>
      <c r="B60" s="297" t="s">
        <v>67</v>
      </c>
      <c r="C60" s="297"/>
      <c r="D60" s="116">
        <f>D48</f>
        <v>1335.3248000000001</v>
      </c>
    </row>
    <row r="61" spans="1:4" x14ac:dyDescent="0.2">
      <c r="A61" s="110" t="s">
        <v>78</v>
      </c>
      <c r="B61" s="297" t="s">
        <v>79</v>
      </c>
      <c r="C61" s="297"/>
      <c r="D61" s="116">
        <f>D55</f>
        <v>477.90800000000002</v>
      </c>
    </row>
    <row r="62" spans="1:4" x14ac:dyDescent="0.2">
      <c r="A62" s="284" t="s">
        <v>58</v>
      </c>
      <c r="B62" s="284"/>
      <c r="C62" s="284"/>
      <c r="D62" s="117">
        <f>SUM(D59:D61)</f>
        <v>2364.72484528</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D27*C66</f>
        <v>15.131262</v>
      </c>
    </row>
    <row r="67" spans="1:4" x14ac:dyDescent="0.2">
      <c r="A67" s="111" t="s">
        <v>35</v>
      </c>
      <c r="B67" s="111" t="s">
        <v>86</v>
      </c>
      <c r="C67" s="141">
        <v>3.3399999999999999E-4</v>
      </c>
      <c r="D67" s="142">
        <f>D27*C67</f>
        <v>1.2119523999999999</v>
      </c>
    </row>
    <row r="68" spans="1:4" x14ac:dyDescent="0.2">
      <c r="A68" s="63" t="s">
        <v>38</v>
      </c>
      <c r="B68" s="63" t="s">
        <v>87</v>
      </c>
      <c r="C68" s="143">
        <v>1.6000000000000001E-3</v>
      </c>
      <c r="D68" s="144">
        <f>SUM(D27+D34)*C68</f>
        <v>6.450779936</v>
      </c>
    </row>
    <row r="69" spans="1:4" x14ac:dyDescent="0.2">
      <c r="A69" s="111" t="s">
        <v>57</v>
      </c>
      <c r="B69" s="111" t="s">
        <v>88</v>
      </c>
      <c r="C69" s="145">
        <v>1.84E-2</v>
      </c>
      <c r="D69" s="140">
        <f>D27*C69</f>
        <v>66.766239999999996</v>
      </c>
    </row>
    <row r="70" spans="1:4" x14ac:dyDescent="0.2">
      <c r="A70" s="110" t="s">
        <v>41</v>
      </c>
      <c r="B70" s="110" t="s">
        <v>89</v>
      </c>
      <c r="C70" s="146">
        <v>5.4000000000000003E-3</v>
      </c>
      <c r="D70" s="147">
        <f>D27*C70</f>
        <v>19.594440000000002</v>
      </c>
    </row>
    <row r="71" spans="1:4" x14ac:dyDescent="0.2">
      <c r="A71" s="63" t="s">
        <v>42</v>
      </c>
      <c r="B71" s="63" t="s">
        <v>90</v>
      </c>
      <c r="C71" s="143">
        <v>3.04E-2</v>
      </c>
      <c r="D71" s="144">
        <f>(D27+D34)*C71</f>
        <v>122.564818784</v>
      </c>
    </row>
    <row r="72" spans="1:4" x14ac:dyDescent="0.2">
      <c r="A72" s="293" t="s">
        <v>58</v>
      </c>
      <c r="B72" s="293"/>
      <c r="C72" s="293"/>
      <c r="D72" s="121">
        <f>SUM(D66:D71)</f>
        <v>231.71949311999998</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D27</f>
        <v>3628.6</v>
      </c>
    </row>
    <row r="76" spans="1:4" x14ac:dyDescent="0.2">
      <c r="A76" s="111" t="s">
        <v>35</v>
      </c>
      <c r="B76" s="111" t="s">
        <v>117</v>
      </c>
      <c r="C76" s="122"/>
      <c r="D76" s="121">
        <f>D62</f>
        <v>2364.72484528</v>
      </c>
    </row>
    <row r="77" spans="1:4" x14ac:dyDescent="0.2">
      <c r="A77" s="63" t="s">
        <v>38</v>
      </c>
      <c r="B77" s="63" t="s">
        <v>134</v>
      </c>
      <c r="C77" s="150">
        <f>D75/12</f>
        <v>302.38333333333333</v>
      </c>
      <c r="D77" s="150">
        <f>C77*C48+C77</f>
        <v>413.66039999999998</v>
      </c>
    </row>
    <row r="78" spans="1:4" x14ac:dyDescent="0.2">
      <c r="A78" s="111" t="s">
        <v>57</v>
      </c>
      <c r="B78" s="111" t="s">
        <v>118</v>
      </c>
      <c r="C78" s="122"/>
      <c r="D78" s="121">
        <f>D72</f>
        <v>231.71949311999998</v>
      </c>
    </row>
    <row r="79" spans="1:4" x14ac:dyDescent="0.2">
      <c r="A79" s="111" t="s">
        <v>41</v>
      </c>
      <c r="B79" s="111" t="s">
        <v>135</v>
      </c>
      <c r="C79" s="122"/>
      <c r="D79" s="168">
        <f>-(D52+D53)</f>
        <v>-428.678</v>
      </c>
    </row>
    <row r="80" spans="1:4" x14ac:dyDescent="0.2">
      <c r="A80" s="293" t="s">
        <v>136</v>
      </c>
      <c r="B80" s="293"/>
      <c r="C80" s="293"/>
      <c r="D80" s="121">
        <f>SUM(D75:D79)</f>
        <v>6210.0267383999999</v>
      </c>
    </row>
    <row r="81" spans="1:4" ht="13.5" thickBot="1" x14ac:dyDescent="0.25">
      <c r="A81" s="148"/>
      <c r="B81" s="148"/>
      <c r="C81" s="148"/>
      <c r="D81" s="148"/>
    </row>
    <row r="82" spans="1:4" ht="13.5" thickBot="1" x14ac:dyDescent="0.25">
      <c r="A82" s="333" t="s">
        <v>91</v>
      </c>
      <c r="B82" s="334"/>
      <c r="C82" s="334"/>
      <c r="D82" s="335"/>
    </row>
    <row r="83" spans="1:4" ht="12.75" customHeight="1"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517.29522730871997</v>
      </c>
    </row>
    <row r="86" spans="1:4" x14ac:dyDescent="0.2">
      <c r="A86" s="111" t="s">
        <v>35</v>
      </c>
      <c r="B86" s="110" t="s">
        <v>138</v>
      </c>
      <c r="C86" s="151">
        <v>2.2200000000000002E-3</v>
      </c>
      <c r="D86" s="119">
        <f>D80*C86</f>
        <v>13.786259359248001</v>
      </c>
    </row>
    <row r="87" spans="1:4" x14ac:dyDescent="0.2">
      <c r="A87" s="111" t="s">
        <v>38</v>
      </c>
      <c r="B87" s="110" t="s">
        <v>96</v>
      </c>
      <c r="C87" s="151">
        <v>2.0000000000000001E-4</v>
      </c>
      <c r="D87" s="119">
        <f>D80*C87</f>
        <v>1.2420053476799999</v>
      </c>
    </row>
    <row r="88" spans="1:4" x14ac:dyDescent="0.2">
      <c r="A88" s="111" t="s">
        <v>57</v>
      </c>
      <c r="B88" s="110" t="s">
        <v>97</v>
      </c>
      <c r="C88" s="151">
        <v>2.7999999999999998E-4</v>
      </c>
      <c r="D88" s="119">
        <f>D80*C88</f>
        <v>1.7388074867519998</v>
      </c>
    </row>
    <row r="89" spans="1:4" x14ac:dyDescent="0.2">
      <c r="A89" s="111"/>
      <c r="B89" s="110" t="s">
        <v>139</v>
      </c>
      <c r="C89" s="151">
        <v>3.5999999999999999E-3</v>
      </c>
      <c r="D89" s="119">
        <f>D80*C89</f>
        <v>22.356096258239997</v>
      </c>
    </row>
    <row r="90" spans="1:4" x14ac:dyDescent="0.2">
      <c r="A90" s="111" t="s">
        <v>41</v>
      </c>
      <c r="B90" s="110" t="s">
        <v>98</v>
      </c>
      <c r="C90" s="151">
        <v>3.8999999999999999E-4</v>
      </c>
      <c r="D90" s="119">
        <f>D80*C90</f>
        <v>2.421910427976</v>
      </c>
    </row>
    <row r="91" spans="1:4" x14ac:dyDescent="0.2">
      <c r="A91" s="111" t="s">
        <v>42</v>
      </c>
      <c r="B91" s="110" t="s">
        <v>126</v>
      </c>
      <c r="C91" s="146"/>
      <c r="D91" s="119">
        <f>(($D$27+$D$62+$D$72)-$D$52)*C91</f>
        <v>0</v>
      </c>
    </row>
    <row r="92" spans="1:4" x14ac:dyDescent="0.2">
      <c r="A92" s="122" t="s">
        <v>58</v>
      </c>
      <c r="B92" s="122"/>
      <c r="C92" s="122"/>
      <c r="D92" s="121">
        <f>SUM(D85:D91)</f>
        <v>558.84030618861584</v>
      </c>
    </row>
    <row r="93" spans="1:4" ht="12.75" customHeight="1"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ht="12.75" customHeight="1"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558.84030618861584</v>
      </c>
    </row>
    <row r="101" spans="1:4" x14ac:dyDescent="0.2">
      <c r="A101" s="110" t="s">
        <v>100</v>
      </c>
      <c r="B101" s="154" t="s">
        <v>101</v>
      </c>
      <c r="C101" s="155"/>
      <c r="D101" s="119">
        <f>D96</f>
        <v>0</v>
      </c>
    </row>
    <row r="102" spans="1:4" x14ac:dyDescent="0.2">
      <c r="A102" s="157" t="s">
        <v>58</v>
      </c>
      <c r="B102" s="158"/>
      <c r="C102" s="159"/>
      <c r="D102" s="121">
        <f>SUM(D100:D101)</f>
        <v>558.84030618861584</v>
      </c>
    </row>
    <row r="103" spans="1:4" x14ac:dyDescent="0.2">
      <c r="A103" s="62" t="s">
        <v>54</v>
      </c>
      <c r="B103" s="62"/>
      <c r="C103" s="62"/>
      <c r="D103" s="62"/>
    </row>
    <row r="104" spans="1:4" ht="12.75" customHeight="1"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v>0</v>
      </c>
    </row>
    <row r="108" spans="1:4" x14ac:dyDescent="0.2">
      <c r="A108" s="114" t="s">
        <v>58</v>
      </c>
      <c r="B108" s="114"/>
      <c r="C108" s="114"/>
      <c r="D108" s="117">
        <f>D106+D107</f>
        <v>137.56</v>
      </c>
    </row>
    <row r="109" spans="1:4" x14ac:dyDescent="0.2">
      <c r="A109" s="339"/>
      <c r="B109" s="339"/>
      <c r="C109" s="339"/>
      <c r="D109" s="339"/>
    </row>
    <row r="110" spans="1:4" ht="12.75" customHeight="1"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346.07223222943082</v>
      </c>
    </row>
    <row r="113" spans="1:4" x14ac:dyDescent="0.2">
      <c r="A113" s="110" t="s">
        <v>35</v>
      </c>
      <c r="B113" s="160" t="s">
        <v>110</v>
      </c>
      <c r="C113" s="161">
        <v>0.1</v>
      </c>
      <c r="D113" s="116">
        <f>C113*(D112+D128)</f>
        <v>726.7516876818047</v>
      </c>
    </row>
    <row r="114" spans="1:4" x14ac:dyDescent="0.2">
      <c r="A114" s="110" t="s">
        <v>38</v>
      </c>
      <c r="B114" s="160" t="s">
        <v>111</v>
      </c>
      <c r="C114" s="162">
        <f>SUM(C115:C117)</f>
        <v>5.6499999999999995E-2</v>
      </c>
      <c r="D114" s="116">
        <f>(D27+D62+D72+D102+D107+D112+D113)*(C115+C116+C117)/(1-(C115+C116+C117))</f>
        <v>470.48652241043089</v>
      </c>
    </row>
    <row r="115" spans="1:4" x14ac:dyDescent="0.2">
      <c r="A115" s="110"/>
      <c r="B115" s="132" t="s">
        <v>112</v>
      </c>
      <c r="C115" s="162">
        <v>6.4999999999999997E-3</v>
      </c>
      <c r="D115" s="116">
        <f>C115*D130</f>
        <v>55.020908064916824</v>
      </c>
    </row>
    <row r="116" spans="1:4" x14ac:dyDescent="0.2">
      <c r="A116" s="110"/>
      <c r="B116" s="132" t="s">
        <v>113</v>
      </c>
      <c r="C116" s="162">
        <v>0.03</v>
      </c>
      <c r="D116" s="116">
        <f>C116*D130</f>
        <v>253.94265260730845</v>
      </c>
    </row>
    <row r="117" spans="1:4" x14ac:dyDescent="0.2">
      <c r="A117" s="110"/>
      <c r="B117" s="110" t="s">
        <v>114</v>
      </c>
      <c r="C117" s="163">
        <v>0.02</v>
      </c>
      <c r="D117" s="116">
        <f>C117*D130</f>
        <v>169.29510173820563</v>
      </c>
    </row>
    <row r="118" spans="1:4" x14ac:dyDescent="0.2">
      <c r="A118" s="114" t="s">
        <v>58</v>
      </c>
      <c r="B118" s="114"/>
      <c r="C118" s="114"/>
      <c r="D118" s="117">
        <f>SUM(D112:D114)</f>
        <v>1543.3104423216664</v>
      </c>
    </row>
    <row r="119" spans="1:4" x14ac:dyDescent="0.2">
      <c r="A119" s="62"/>
      <c r="B119" s="62"/>
      <c r="C119" s="62"/>
      <c r="D119" s="62"/>
    </row>
    <row r="120" spans="1:4" ht="12.75" customHeight="1"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D27</f>
        <v>3628.6</v>
      </c>
    </row>
    <row r="124" spans="1:4" x14ac:dyDescent="0.2">
      <c r="A124" s="110" t="s">
        <v>35</v>
      </c>
      <c r="B124" s="285" t="s">
        <v>117</v>
      </c>
      <c r="C124" s="286"/>
      <c r="D124" s="116">
        <f>D62</f>
        <v>2364.72484528</v>
      </c>
    </row>
    <row r="125" spans="1:4" x14ac:dyDescent="0.2">
      <c r="A125" s="110" t="s">
        <v>38</v>
      </c>
      <c r="B125" s="285" t="s">
        <v>118</v>
      </c>
      <c r="C125" s="286"/>
      <c r="D125" s="116">
        <f>D72</f>
        <v>231.71949311999998</v>
      </c>
    </row>
    <row r="126" spans="1:4" x14ac:dyDescent="0.2">
      <c r="A126" s="110" t="s">
        <v>57</v>
      </c>
      <c r="B126" s="285" t="s">
        <v>119</v>
      </c>
      <c r="C126" s="286"/>
      <c r="D126" s="116">
        <f>D102</f>
        <v>558.84030618861584</v>
      </c>
    </row>
    <row r="127" spans="1:4" x14ac:dyDescent="0.2">
      <c r="A127" s="110" t="s">
        <v>41</v>
      </c>
      <c r="B127" s="285" t="s">
        <v>120</v>
      </c>
      <c r="C127" s="286"/>
      <c r="D127" s="116">
        <f>D108</f>
        <v>137.56</v>
      </c>
    </row>
    <row r="128" spans="1:4" ht="12.75" customHeight="1" x14ac:dyDescent="0.2">
      <c r="A128" s="281" t="s">
        <v>121</v>
      </c>
      <c r="B128" s="282"/>
      <c r="C128" s="283"/>
      <c r="D128" s="117">
        <f>SUM(D123:D127)</f>
        <v>6921.444644588616</v>
      </c>
    </row>
    <row r="129" spans="1:4" x14ac:dyDescent="0.2">
      <c r="A129" s="110" t="s">
        <v>42</v>
      </c>
      <c r="B129" s="285" t="s">
        <v>122</v>
      </c>
      <c r="C129" s="286"/>
      <c r="D129" s="116">
        <f>D118</f>
        <v>1543.3104423216664</v>
      </c>
    </row>
    <row r="130" spans="1:4" x14ac:dyDescent="0.2">
      <c r="A130" s="298" t="s">
        <v>123</v>
      </c>
      <c r="B130" s="299"/>
      <c r="C130" s="300"/>
      <c r="D130" s="121">
        <f>SUM(D128+D129)</f>
        <v>8464.7550869102815</v>
      </c>
    </row>
    <row r="131" spans="1:4" x14ac:dyDescent="0.2">
      <c r="A131" s="148"/>
      <c r="B131" s="148"/>
      <c r="C131" s="148"/>
      <c r="D131" s="149"/>
    </row>
    <row r="132" spans="1:4" x14ac:dyDescent="0.2">
      <c r="A132" s="148"/>
      <c r="B132" s="148"/>
      <c r="C132" s="122" t="s">
        <v>129</v>
      </c>
      <c r="D132" s="122">
        <v>16</v>
      </c>
    </row>
    <row r="133" spans="1:4" x14ac:dyDescent="0.2">
      <c r="A133" s="62"/>
      <c r="B133" s="62"/>
      <c r="C133" s="111" t="s">
        <v>124</v>
      </c>
      <c r="D133" s="164">
        <f>D132*D130</f>
        <v>135436.0813905645</v>
      </c>
    </row>
    <row r="134" spans="1:4" x14ac:dyDescent="0.2">
      <c r="A134" s="62"/>
      <c r="B134" s="62"/>
      <c r="C134" s="122" t="s">
        <v>128</v>
      </c>
      <c r="D134" s="165">
        <v>12</v>
      </c>
    </row>
    <row r="135" spans="1:4" x14ac:dyDescent="0.2">
      <c r="A135" s="62"/>
      <c r="B135" s="62"/>
      <c r="C135" s="111" t="s">
        <v>125</v>
      </c>
      <c r="D135" s="166">
        <f>D134*D133</f>
        <v>1625232.9766867741</v>
      </c>
    </row>
  </sheetData>
  <mergeCells count="60">
    <mergeCell ref="B7:C7"/>
    <mergeCell ref="A1:D1"/>
    <mergeCell ref="A2:D2"/>
    <mergeCell ref="A3:D3"/>
    <mergeCell ref="A4:C4"/>
    <mergeCell ref="A6:D6"/>
    <mergeCell ref="A36:C36"/>
    <mergeCell ref="A37:D37"/>
    <mergeCell ref="B17:C17"/>
    <mergeCell ref="B8:C8"/>
    <mergeCell ref="B9:C9"/>
    <mergeCell ref="B10:C10"/>
    <mergeCell ref="A11:D11"/>
    <mergeCell ref="A12:D12"/>
    <mergeCell ref="A13:C13"/>
    <mergeCell ref="A14:C14"/>
    <mergeCell ref="A15:D15"/>
    <mergeCell ref="A16:D16"/>
    <mergeCell ref="A29:D29"/>
    <mergeCell ref="A30:D30"/>
    <mergeCell ref="B31:C31"/>
    <mergeCell ref="A34:B34"/>
    <mergeCell ref="A35:B35"/>
    <mergeCell ref="B18:C18"/>
    <mergeCell ref="B19:C19"/>
    <mergeCell ref="A21:D21"/>
    <mergeCell ref="B22:C22"/>
    <mergeCell ref="A27:C27"/>
    <mergeCell ref="A64:D64"/>
    <mergeCell ref="A72:C72"/>
    <mergeCell ref="A74:D74"/>
    <mergeCell ref="A80:C80"/>
    <mergeCell ref="B58:C58"/>
    <mergeCell ref="B59:C59"/>
    <mergeCell ref="A62:C62"/>
    <mergeCell ref="A38:D38"/>
    <mergeCell ref="A56:D56"/>
    <mergeCell ref="A57:D57"/>
    <mergeCell ref="B60:C60"/>
    <mergeCell ref="B61:C61"/>
    <mergeCell ref="A49:D49"/>
    <mergeCell ref="A50:D50"/>
    <mergeCell ref="B51:C51"/>
    <mergeCell ref="A55:C55"/>
    <mergeCell ref="A82:D82"/>
    <mergeCell ref="A83:D83"/>
    <mergeCell ref="A93:D93"/>
    <mergeCell ref="A98:D98"/>
    <mergeCell ref="A104:D104"/>
    <mergeCell ref="A130:C130"/>
    <mergeCell ref="A109:D109"/>
    <mergeCell ref="A110:D110"/>
    <mergeCell ref="A120:D120"/>
    <mergeCell ref="B126:C126"/>
    <mergeCell ref="B129:C129"/>
    <mergeCell ref="B127:C127"/>
    <mergeCell ref="A128:C128"/>
    <mergeCell ref="B123:C123"/>
    <mergeCell ref="B124:C124"/>
    <mergeCell ref="B125:C125"/>
  </mergeCells>
  <pageMargins left="0.25" right="0.25" top="0.75" bottom="0.75" header="0.3" footer="0.3"/>
  <pageSetup paperSize="9" scale="95"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4A41F-886C-402E-9D6E-3C1D67D3D74C}">
  <sheetPr>
    <pageSetUpPr fitToPage="1"/>
  </sheetPr>
  <dimension ref="A1:D135"/>
  <sheetViews>
    <sheetView workbookViewId="0">
      <selection activeCell="D5" sqref="D5"/>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180</v>
      </c>
    </row>
    <row r="14" spans="1:4" x14ac:dyDescent="0.2">
      <c r="A14" s="277" t="s">
        <v>150</v>
      </c>
      <c r="B14" s="277"/>
      <c r="C14" s="277"/>
      <c r="D14" s="111" t="s">
        <v>217</v>
      </c>
    </row>
    <row r="15" spans="1:4" x14ac:dyDescent="0.2">
      <c r="A15" s="274"/>
      <c r="B15" s="274"/>
      <c r="C15" s="274"/>
      <c r="D15" s="275"/>
    </row>
    <row r="16" spans="1:4" ht="13.5" thickBot="1" x14ac:dyDescent="0.25">
      <c r="A16" s="276" t="s">
        <v>49</v>
      </c>
      <c r="B16" s="276"/>
      <c r="C16" s="276"/>
      <c r="D16" s="276"/>
    </row>
    <row r="17" spans="1:4" x14ac:dyDescent="0.2">
      <c r="A17" s="110">
        <v>3</v>
      </c>
      <c r="B17" s="278" t="s">
        <v>220</v>
      </c>
      <c r="C17" s="279"/>
      <c r="D17" s="113">
        <v>3325</v>
      </c>
    </row>
    <row r="18" spans="1:4" ht="25.5" x14ac:dyDescent="0.2">
      <c r="A18" s="112">
        <v>4</v>
      </c>
      <c r="B18" s="277" t="s">
        <v>51</v>
      </c>
      <c r="C18" s="277"/>
      <c r="D18" s="112" t="s">
        <v>304</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218</v>
      </c>
      <c r="C23" s="115"/>
      <c r="D23" s="116">
        <f>D17</f>
        <v>3325</v>
      </c>
    </row>
    <row r="24" spans="1:4" x14ac:dyDescent="0.2">
      <c r="A24" s="110" t="s">
        <v>35</v>
      </c>
      <c r="B24" s="110" t="s">
        <v>255</v>
      </c>
      <c r="C24" s="110"/>
      <c r="D24" s="116">
        <f>D19*0.2</f>
        <v>303.60000000000002</v>
      </c>
    </row>
    <row r="25" spans="1:4" x14ac:dyDescent="0.2">
      <c r="A25" s="110" t="s">
        <v>38</v>
      </c>
      <c r="B25" s="110" t="s">
        <v>212</v>
      </c>
      <c r="C25" s="116">
        <f>C26*40%</f>
        <v>1451.44</v>
      </c>
      <c r="D25" s="116">
        <f>C25*9/12</f>
        <v>1088.5800000000002</v>
      </c>
    </row>
    <row r="26" spans="1:4" x14ac:dyDescent="0.2">
      <c r="A26" s="110" t="s">
        <v>57</v>
      </c>
      <c r="B26" s="110" t="s">
        <v>209</v>
      </c>
      <c r="C26" s="116">
        <f>D23+D24</f>
        <v>3628.6</v>
      </c>
      <c r="D26" s="116">
        <f>C26*1.2/12</f>
        <v>362.85999999999996</v>
      </c>
    </row>
    <row r="27" spans="1:4" x14ac:dyDescent="0.2">
      <c r="A27" s="284" t="s">
        <v>58</v>
      </c>
      <c r="B27" s="284"/>
      <c r="C27" s="284"/>
      <c r="D27" s="117">
        <f>SUM(D23:D26)</f>
        <v>5080.04</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423.16733199999999</v>
      </c>
    </row>
    <row r="33" spans="1:4" x14ac:dyDescent="0.2">
      <c r="A33" s="111" t="s">
        <v>35</v>
      </c>
      <c r="B33" s="111" t="s">
        <v>64</v>
      </c>
      <c r="C33" s="118">
        <v>2.7799999999999998E-2</v>
      </c>
      <c r="D33" s="119">
        <f>SUM(D27*C33)</f>
        <v>141.225112</v>
      </c>
    </row>
    <row r="34" spans="1:4" x14ac:dyDescent="0.2">
      <c r="A34" s="305" t="s">
        <v>131</v>
      </c>
      <c r="B34" s="306"/>
      <c r="C34" s="120">
        <f>SUM(C32+C33)</f>
        <v>0.1111</v>
      </c>
      <c r="D34" s="121">
        <f>SUM(D32:D33)</f>
        <v>564.39244399999995</v>
      </c>
    </row>
    <row r="35" spans="1:4" x14ac:dyDescent="0.2">
      <c r="A35" s="313" t="s">
        <v>130</v>
      </c>
      <c r="B35" s="293"/>
      <c r="C35" s="123">
        <f>SUM(C40:C47)</f>
        <v>0.36800000000000005</v>
      </c>
      <c r="D35" s="119">
        <f>SUM(D34*C35)</f>
        <v>207.69641939200002</v>
      </c>
    </row>
    <row r="36" spans="1:4" x14ac:dyDescent="0.2">
      <c r="A36" s="307" t="s">
        <v>58</v>
      </c>
      <c r="B36" s="308"/>
      <c r="C36" s="309"/>
      <c r="D36" s="124">
        <f>SUM(D34+D35)</f>
        <v>772.08886339200001</v>
      </c>
    </row>
    <row r="37" spans="1:4" x14ac:dyDescent="0.2">
      <c r="A37" s="304"/>
      <c r="B37" s="304"/>
      <c r="C37" s="304"/>
      <c r="D37" s="304"/>
    </row>
    <row r="38" spans="1:4"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1016.008</v>
      </c>
    </row>
    <row r="41" spans="1:4" x14ac:dyDescent="0.2">
      <c r="A41" s="127" t="s">
        <v>35</v>
      </c>
      <c r="B41" s="127" t="s">
        <v>70</v>
      </c>
      <c r="C41" s="123">
        <v>2.5000000000000001E-2</v>
      </c>
      <c r="D41" s="116">
        <f>D27*C41</f>
        <v>127.001</v>
      </c>
    </row>
    <row r="42" spans="1:4" x14ac:dyDescent="0.2">
      <c r="A42" s="127" t="s">
        <v>38</v>
      </c>
      <c r="B42" s="128" t="s">
        <v>71</v>
      </c>
      <c r="C42" s="129">
        <v>0.03</v>
      </c>
      <c r="D42" s="116">
        <f>D27*C42</f>
        <v>152.40119999999999</v>
      </c>
    </row>
    <row r="43" spans="1:4" x14ac:dyDescent="0.2">
      <c r="A43" s="127" t="s">
        <v>57</v>
      </c>
      <c r="B43" s="127" t="s">
        <v>72</v>
      </c>
      <c r="C43" s="123">
        <v>1.4999999999999999E-2</v>
      </c>
      <c r="D43" s="116">
        <f>D27*C43</f>
        <v>76.200599999999994</v>
      </c>
    </row>
    <row r="44" spans="1:4" x14ac:dyDescent="0.2">
      <c r="A44" s="127" t="s">
        <v>41</v>
      </c>
      <c r="B44" s="127" t="s">
        <v>73</v>
      </c>
      <c r="C44" s="123">
        <v>0.01</v>
      </c>
      <c r="D44" s="116">
        <f>D27*C44</f>
        <v>50.800400000000003</v>
      </c>
    </row>
    <row r="45" spans="1:4" x14ac:dyDescent="0.2">
      <c r="A45" s="127" t="s">
        <v>42</v>
      </c>
      <c r="B45" s="127" t="s">
        <v>74</v>
      </c>
      <c r="C45" s="123">
        <v>6.0000000000000001E-3</v>
      </c>
      <c r="D45" s="116">
        <f>D27*C45</f>
        <v>30.480240000000002</v>
      </c>
    </row>
    <row r="46" spans="1:4" x14ac:dyDescent="0.2">
      <c r="A46" s="127" t="s">
        <v>43</v>
      </c>
      <c r="B46" s="127" t="s">
        <v>75</v>
      </c>
      <c r="C46" s="123">
        <v>2E-3</v>
      </c>
      <c r="D46" s="116">
        <f>D27*C46</f>
        <v>10.160080000000001</v>
      </c>
    </row>
    <row r="47" spans="1:4" x14ac:dyDescent="0.2">
      <c r="A47" s="127" t="s">
        <v>44</v>
      </c>
      <c r="B47" s="127" t="s">
        <v>76</v>
      </c>
      <c r="C47" s="123">
        <v>0.08</v>
      </c>
      <c r="D47" s="116">
        <f>D27*C47</f>
        <v>406.40320000000003</v>
      </c>
    </row>
    <row r="48" spans="1:4" x14ac:dyDescent="0.2">
      <c r="A48" s="127"/>
      <c r="B48" s="126" t="s">
        <v>58</v>
      </c>
      <c r="C48" s="123">
        <f>SUM(C40:C47)</f>
        <v>0.36800000000000005</v>
      </c>
      <c r="D48" s="117">
        <f>SUM(D40:D47)</f>
        <v>1869.4547200000002</v>
      </c>
    </row>
    <row r="49" spans="1:4" x14ac:dyDescent="0.2">
      <c r="A49" s="304"/>
      <c r="B49" s="304"/>
      <c r="C49" s="304"/>
      <c r="D49" s="304"/>
    </row>
    <row r="50" spans="1:4" x14ac:dyDescent="0.2">
      <c r="A50" s="296" t="s">
        <v>77</v>
      </c>
      <c r="B50" s="296"/>
      <c r="C50" s="296"/>
      <c r="D50" s="296"/>
    </row>
    <row r="51" spans="1:4" x14ac:dyDescent="0.2">
      <c r="A51" s="114" t="s">
        <v>78</v>
      </c>
      <c r="B51" s="284" t="s">
        <v>79</v>
      </c>
      <c r="C51" s="284"/>
      <c r="D51" s="114" t="s">
        <v>56</v>
      </c>
    </row>
    <row r="52" spans="1:4" s="131" customFormat="1" ht="23.25" customHeight="1" x14ac:dyDescent="0.25">
      <c r="A52" s="110" t="s">
        <v>33</v>
      </c>
      <c r="B52" s="110" t="s">
        <v>214</v>
      </c>
      <c r="C52" s="130">
        <v>5.15</v>
      </c>
      <c r="D52" s="119">
        <f>(2*5.15*15.2) - (D20*6%)</f>
        <v>156.56</v>
      </c>
    </row>
    <row r="53" spans="1:4" x14ac:dyDescent="0.2">
      <c r="A53" s="110" t="s">
        <v>35</v>
      </c>
      <c r="B53" s="132" t="s">
        <v>254</v>
      </c>
      <c r="C53" s="133">
        <v>27.29</v>
      </c>
      <c r="D53" s="134">
        <f>(C53*15.2)-142.69</f>
        <v>272.11799999999999</v>
      </c>
    </row>
    <row r="54" spans="1:4" x14ac:dyDescent="0.2">
      <c r="A54" s="110" t="s">
        <v>38</v>
      </c>
      <c r="B54" s="110" t="s">
        <v>243</v>
      </c>
      <c r="C54" s="167">
        <v>0</v>
      </c>
      <c r="D54" s="136">
        <v>49.23</v>
      </c>
    </row>
    <row r="55" spans="1:4" x14ac:dyDescent="0.2">
      <c r="A55" s="284" t="s">
        <v>58</v>
      </c>
      <c r="B55" s="284"/>
      <c r="C55" s="284"/>
      <c r="D55" s="121">
        <f>SUM(D52:D54)</f>
        <v>477.90800000000002</v>
      </c>
    </row>
    <row r="56" spans="1:4" x14ac:dyDescent="0.2">
      <c r="A56" s="327"/>
      <c r="B56" s="327"/>
      <c r="C56" s="327"/>
      <c r="D56" s="327"/>
    </row>
    <row r="57" spans="1:4"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D36</f>
        <v>772.08886339200001</v>
      </c>
    </row>
    <row r="60" spans="1:4" x14ac:dyDescent="0.2">
      <c r="A60" s="110" t="s">
        <v>66</v>
      </c>
      <c r="B60" s="297" t="s">
        <v>67</v>
      </c>
      <c r="C60" s="297"/>
      <c r="D60" s="116">
        <f>D48</f>
        <v>1869.4547200000002</v>
      </c>
    </row>
    <row r="61" spans="1:4" x14ac:dyDescent="0.2">
      <c r="A61" s="110" t="s">
        <v>78</v>
      </c>
      <c r="B61" s="297" t="s">
        <v>79</v>
      </c>
      <c r="C61" s="297"/>
      <c r="D61" s="116">
        <f>D55</f>
        <v>477.90800000000002</v>
      </c>
    </row>
    <row r="62" spans="1:4" x14ac:dyDescent="0.2">
      <c r="A62" s="284" t="s">
        <v>58</v>
      </c>
      <c r="B62" s="284"/>
      <c r="C62" s="284"/>
      <c r="D62" s="117">
        <f>SUM(D59:D61)</f>
        <v>3119.451583392</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D27*C66</f>
        <v>21.183766800000001</v>
      </c>
    </row>
    <row r="67" spans="1:4" x14ac:dyDescent="0.2">
      <c r="A67" s="111" t="s">
        <v>35</v>
      </c>
      <c r="B67" s="111" t="s">
        <v>86</v>
      </c>
      <c r="C67" s="141">
        <v>3.3399999999999999E-4</v>
      </c>
      <c r="D67" s="142">
        <f>D27*C67</f>
        <v>1.6967333599999999</v>
      </c>
    </row>
    <row r="68" spans="1:4" x14ac:dyDescent="0.2">
      <c r="A68" s="63" t="s">
        <v>38</v>
      </c>
      <c r="B68" s="63" t="s">
        <v>87</v>
      </c>
      <c r="C68" s="143">
        <v>1.6000000000000001E-3</v>
      </c>
      <c r="D68" s="144">
        <f>SUM(D27+D34)*C68</f>
        <v>9.0310919104000007</v>
      </c>
    </row>
    <row r="69" spans="1:4" x14ac:dyDescent="0.2">
      <c r="A69" s="111" t="s">
        <v>57</v>
      </c>
      <c r="B69" s="111" t="s">
        <v>88</v>
      </c>
      <c r="C69" s="145">
        <v>1.84E-2</v>
      </c>
      <c r="D69" s="140">
        <f>D27*C69</f>
        <v>93.472735999999998</v>
      </c>
    </row>
    <row r="70" spans="1:4" x14ac:dyDescent="0.2">
      <c r="A70" s="110" t="s">
        <v>41</v>
      </c>
      <c r="B70" s="110" t="s">
        <v>89</v>
      </c>
      <c r="C70" s="146">
        <v>5.4000000000000003E-3</v>
      </c>
      <c r="D70" s="147">
        <f>D27*C70</f>
        <v>27.432216</v>
      </c>
    </row>
    <row r="71" spans="1:4" x14ac:dyDescent="0.2">
      <c r="A71" s="63" t="s">
        <v>42</v>
      </c>
      <c r="B71" s="63" t="s">
        <v>90</v>
      </c>
      <c r="C71" s="143">
        <v>3.04E-2</v>
      </c>
      <c r="D71" s="144">
        <f>(D27+D34)*C71</f>
        <v>171.59074629759999</v>
      </c>
    </row>
    <row r="72" spans="1:4" x14ac:dyDescent="0.2">
      <c r="A72" s="293" t="s">
        <v>58</v>
      </c>
      <c r="B72" s="293"/>
      <c r="C72" s="293"/>
      <c r="D72" s="121">
        <f>SUM(D66:D71)</f>
        <v>324.40729036799996</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D27</f>
        <v>5080.04</v>
      </c>
    </row>
    <row r="76" spans="1:4" x14ac:dyDescent="0.2">
      <c r="A76" s="111" t="s">
        <v>35</v>
      </c>
      <c r="B76" s="111" t="s">
        <v>117</v>
      </c>
      <c r="C76" s="122"/>
      <c r="D76" s="121">
        <f>D62</f>
        <v>3119.451583392</v>
      </c>
    </row>
    <row r="77" spans="1:4" x14ac:dyDescent="0.2">
      <c r="A77" s="63" t="s">
        <v>38</v>
      </c>
      <c r="B77" s="63" t="s">
        <v>134</v>
      </c>
      <c r="C77" s="150">
        <f>D75/12</f>
        <v>423.33666666666664</v>
      </c>
      <c r="D77" s="150">
        <f>C77*C48+C77</f>
        <v>579.12455999999997</v>
      </c>
    </row>
    <row r="78" spans="1:4" x14ac:dyDescent="0.2">
      <c r="A78" s="111" t="s">
        <v>57</v>
      </c>
      <c r="B78" s="111" t="s">
        <v>118</v>
      </c>
      <c r="C78" s="122"/>
      <c r="D78" s="121">
        <f>D72</f>
        <v>324.40729036799996</v>
      </c>
    </row>
    <row r="79" spans="1:4" x14ac:dyDescent="0.2">
      <c r="A79" s="111" t="s">
        <v>41</v>
      </c>
      <c r="B79" s="111" t="s">
        <v>135</v>
      </c>
      <c r="C79" s="122"/>
      <c r="D79" s="168">
        <f>-(D52+D53)</f>
        <v>-428.678</v>
      </c>
    </row>
    <row r="80" spans="1:4" x14ac:dyDescent="0.2">
      <c r="A80" s="293" t="s">
        <v>136</v>
      </c>
      <c r="B80" s="293"/>
      <c r="C80" s="293"/>
      <c r="D80" s="121">
        <f>SUM(D75:D79)</f>
        <v>8674.3454337600015</v>
      </c>
    </row>
    <row r="81" spans="1:4" ht="13.5" thickBot="1" x14ac:dyDescent="0.25">
      <c r="A81" s="148"/>
      <c r="B81" s="148"/>
      <c r="C81" s="148"/>
      <c r="D81" s="148"/>
    </row>
    <row r="82" spans="1:4" ht="13.5" thickBot="1" x14ac:dyDescent="0.25">
      <c r="A82" s="333" t="s">
        <v>91</v>
      </c>
      <c r="B82" s="334"/>
      <c r="C82" s="334"/>
      <c r="D82" s="335"/>
    </row>
    <row r="83" spans="1:4"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722.57297463220812</v>
      </c>
    </row>
    <row r="86" spans="1:4" x14ac:dyDescent="0.2">
      <c r="A86" s="111" t="s">
        <v>35</v>
      </c>
      <c r="B86" s="110" t="s">
        <v>138</v>
      </c>
      <c r="C86" s="151">
        <v>2.2200000000000002E-3</v>
      </c>
      <c r="D86" s="119">
        <f>D80*C86</f>
        <v>19.257046862947206</v>
      </c>
    </row>
    <row r="87" spans="1:4" x14ac:dyDescent="0.2">
      <c r="A87" s="111" t="s">
        <v>38</v>
      </c>
      <c r="B87" s="110" t="s">
        <v>96</v>
      </c>
      <c r="C87" s="151">
        <v>2.0000000000000001E-4</v>
      </c>
      <c r="D87" s="119">
        <f>D80*C87</f>
        <v>1.7348690867520005</v>
      </c>
    </row>
    <row r="88" spans="1:4" x14ac:dyDescent="0.2">
      <c r="A88" s="111" t="s">
        <v>57</v>
      </c>
      <c r="B88" s="110" t="s">
        <v>97</v>
      </c>
      <c r="C88" s="151">
        <v>2.7999999999999998E-4</v>
      </c>
      <c r="D88" s="119">
        <f>D80*C88</f>
        <v>2.4288167214528</v>
      </c>
    </row>
    <row r="89" spans="1:4" x14ac:dyDescent="0.2">
      <c r="A89" s="111"/>
      <c r="B89" s="110" t="s">
        <v>139</v>
      </c>
      <c r="C89" s="151">
        <v>3.5999999999999999E-3</v>
      </c>
      <c r="D89" s="119">
        <f>D80*C89</f>
        <v>31.227643561536006</v>
      </c>
    </row>
    <row r="90" spans="1:4" x14ac:dyDescent="0.2">
      <c r="A90" s="111" t="s">
        <v>41</v>
      </c>
      <c r="B90" s="110" t="s">
        <v>98</v>
      </c>
      <c r="C90" s="151">
        <v>3.8999999999999999E-4</v>
      </c>
      <c r="D90" s="119">
        <f>D80*C90</f>
        <v>3.3829947191664007</v>
      </c>
    </row>
    <row r="91" spans="1:4" x14ac:dyDescent="0.2">
      <c r="A91" s="111" t="s">
        <v>42</v>
      </c>
      <c r="B91" s="110" t="s">
        <v>126</v>
      </c>
      <c r="C91" s="146"/>
      <c r="D91" s="119">
        <f>(($D$27+$D$62+$D$72)-$D$52)*C91</f>
        <v>0</v>
      </c>
    </row>
    <row r="92" spans="1:4" x14ac:dyDescent="0.2">
      <c r="A92" s="122" t="s">
        <v>58</v>
      </c>
      <c r="B92" s="122"/>
      <c r="C92" s="122"/>
      <c r="D92" s="121">
        <f>SUM(D85:D91)</f>
        <v>780.60434558406246</v>
      </c>
    </row>
    <row r="93" spans="1:4"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780.60434558406246</v>
      </c>
    </row>
    <row r="101" spans="1:4" x14ac:dyDescent="0.2">
      <c r="A101" s="110" t="s">
        <v>100</v>
      </c>
      <c r="B101" s="154" t="s">
        <v>101</v>
      </c>
      <c r="C101" s="155"/>
      <c r="D101" s="119">
        <f>D96</f>
        <v>0</v>
      </c>
    </row>
    <row r="102" spans="1:4" x14ac:dyDescent="0.2">
      <c r="A102" s="157" t="s">
        <v>58</v>
      </c>
      <c r="B102" s="158"/>
      <c r="C102" s="159"/>
      <c r="D102" s="121">
        <f>SUM(D100:D101)</f>
        <v>780.60434558406246</v>
      </c>
    </row>
    <row r="103" spans="1:4" x14ac:dyDescent="0.2">
      <c r="A103" s="62" t="s">
        <v>54</v>
      </c>
      <c r="B103" s="62"/>
      <c r="C103" s="62"/>
      <c r="D103" s="62"/>
    </row>
    <row r="104" spans="1:4"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v>0</v>
      </c>
    </row>
    <row r="108" spans="1:4" x14ac:dyDescent="0.2">
      <c r="A108" s="114" t="s">
        <v>58</v>
      </c>
      <c r="B108" s="114"/>
      <c r="C108" s="114"/>
      <c r="D108" s="117">
        <f>D106+D107</f>
        <v>137.56</v>
      </c>
    </row>
    <row r="109" spans="1:4" x14ac:dyDescent="0.2">
      <c r="A109" s="339"/>
      <c r="B109" s="339"/>
      <c r="C109" s="339"/>
      <c r="D109" s="339"/>
    </row>
    <row r="110" spans="1:4"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472.10316096720317</v>
      </c>
    </row>
    <row r="113" spans="1:4" x14ac:dyDescent="0.2">
      <c r="A113" s="110" t="s">
        <v>35</v>
      </c>
      <c r="B113" s="160" t="s">
        <v>110</v>
      </c>
      <c r="C113" s="161">
        <v>0.1</v>
      </c>
      <c r="D113" s="116">
        <f>C113*(D112+D128)</f>
        <v>991.41663803112669</v>
      </c>
    </row>
    <row r="114" spans="1:4" x14ac:dyDescent="0.2">
      <c r="A114" s="110" t="s">
        <v>38</v>
      </c>
      <c r="B114" s="160" t="s">
        <v>111</v>
      </c>
      <c r="C114" s="162">
        <f>SUM(C115:C117)</f>
        <v>5.6499999999999995E-2</v>
      </c>
      <c r="D114" s="116">
        <f>(D27+D62+D72+D102+D107+D112+D113)*(C115+C116+C117)/(1-(C115+C116+C117))</f>
        <v>644.82596771207761</v>
      </c>
    </row>
    <row r="115" spans="1:4" x14ac:dyDescent="0.2">
      <c r="A115" s="110"/>
      <c r="B115" s="132" t="s">
        <v>112</v>
      </c>
      <c r="C115" s="162">
        <v>6.4999999999999997E-3</v>
      </c>
      <c r="D115" s="116">
        <f>C115*D130</f>
        <v>75.077658409354058</v>
      </c>
    </row>
    <row r="116" spans="1:4" x14ac:dyDescent="0.2">
      <c r="A116" s="110"/>
      <c r="B116" s="132" t="s">
        <v>113</v>
      </c>
      <c r="C116" s="162">
        <v>0.03</v>
      </c>
      <c r="D116" s="116">
        <f>C116*D130</f>
        <v>346.51226958163409</v>
      </c>
    </row>
    <row r="117" spans="1:4" x14ac:dyDescent="0.2">
      <c r="A117" s="110"/>
      <c r="B117" s="110" t="s">
        <v>114</v>
      </c>
      <c r="C117" s="163">
        <v>0.02</v>
      </c>
      <c r="D117" s="116">
        <f>C117*D130</f>
        <v>231.00817972108939</v>
      </c>
    </row>
    <row r="118" spans="1:4" x14ac:dyDescent="0.2">
      <c r="A118" s="114" t="s">
        <v>58</v>
      </c>
      <c r="B118" s="114"/>
      <c r="C118" s="114"/>
      <c r="D118" s="117">
        <f>SUM(D112:D114)</f>
        <v>2108.3457667104076</v>
      </c>
    </row>
    <row r="119" spans="1:4" x14ac:dyDescent="0.2">
      <c r="A119" s="62"/>
      <c r="B119" s="62"/>
      <c r="C119" s="62"/>
      <c r="D119" s="62"/>
    </row>
    <row r="120" spans="1:4"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D27</f>
        <v>5080.04</v>
      </c>
    </row>
    <row r="124" spans="1:4" x14ac:dyDescent="0.2">
      <c r="A124" s="110" t="s">
        <v>35</v>
      </c>
      <c r="B124" s="285" t="s">
        <v>117</v>
      </c>
      <c r="C124" s="286"/>
      <c r="D124" s="116">
        <f>D62</f>
        <v>3119.451583392</v>
      </c>
    </row>
    <row r="125" spans="1:4" x14ac:dyDescent="0.2">
      <c r="A125" s="110" t="s">
        <v>38</v>
      </c>
      <c r="B125" s="285" t="s">
        <v>118</v>
      </c>
      <c r="C125" s="286"/>
      <c r="D125" s="116">
        <f>D72</f>
        <v>324.40729036799996</v>
      </c>
    </row>
    <row r="126" spans="1:4" x14ac:dyDescent="0.2">
      <c r="A126" s="110" t="s">
        <v>57</v>
      </c>
      <c r="B126" s="285" t="s">
        <v>119</v>
      </c>
      <c r="C126" s="286"/>
      <c r="D126" s="116">
        <f>D102</f>
        <v>780.60434558406246</v>
      </c>
    </row>
    <row r="127" spans="1:4" x14ac:dyDescent="0.2">
      <c r="A127" s="110" t="s">
        <v>41</v>
      </c>
      <c r="B127" s="285" t="s">
        <v>120</v>
      </c>
      <c r="C127" s="286"/>
      <c r="D127" s="116">
        <f>D108</f>
        <v>137.56</v>
      </c>
    </row>
    <row r="128" spans="1:4" x14ac:dyDescent="0.2">
      <c r="A128" s="281" t="s">
        <v>121</v>
      </c>
      <c r="B128" s="282"/>
      <c r="C128" s="283"/>
      <c r="D128" s="117">
        <f>SUM(D123:D127)</f>
        <v>9442.0632193440633</v>
      </c>
    </row>
    <row r="129" spans="1:4" x14ac:dyDescent="0.2">
      <c r="A129" s="110" t="s">
        <v>42</v>
      </c>
      <c r="B129" s="285" t="s">
        <v>122</v>
      </c>
      <c r="C129" s="286"/>
      <c r="D129" s="116">
        <f>D118</f>
        <v>2108.3457667104076</v>
      </c>
    </row>
    <row r="130" spans="1:4" x14ac:dyDescent="0.2">
      <c r="A130" s="298" t="s">
        <v>123</v>
      </c>
      <c r="B130" s="299"/>
      <c r="C130" s="300"/>
      <c r="D130" s="121">
        <f>SUM(D128+D129)</f>
        <v>11550.40898605447</v>
      </c>
    </row>
    <row r="131" spans="1:4" x14ac:dyDescent="0.2">
      <c r="A131" s="148"/>
      <c r="B131" s="148"/>
      <c r="C131" s="148"/>
      <c r="D131" s="149"/>
    </row>
    <row r="132" spans="1:4" x14ac:dyDescent="0.2">
      <c r="A132" s="148"/>
      <c r="B132" s="148"/>
      <c r="C132" s="122" t="s">
        <v>129</v>
      </c>
      <c r="D132" s="122">
        <v>14</v>
      </c>
    </row>
    <row r="133" spans="1:4" x14ac:dyDescent="0.2">
      <c r="A133" s="62"/>
      <c r="B133" s="62"/>
      <c r="C133" s="111" t="s">
        <v>124</v>
      </c>
      <c r="D133" s="164">
        <f>D132*D130</f>
        <v>161705.72580476257</v>
      </c>
    </row>
    <row r="134" spans="1:4" x14ac:dyDescent="0.2">
      <c r="A134" s="62"/>
      <c r="B134" s="62"/>
      <c r="C134" s="122" t="s">
        <v>128</v>
      </c>
      <c r="D134" s="165">
        <v>12</v>
      </c>
    </row>
    <row r="135" spans="1:4" x14ac:dyDescent="0.2">
      <c r="A135" s="62"/>
      <c r="B135" s="62"/>
      <c r="C135" s="111" t="s">
        <v>125</v>
      </c>
      <c r="D135" s="166">
        <f>D134*D133</f>
        <v>1940468.7096571508</v>
      </c>
    </row>
  </sheetData>
  <mergeCells count="60">
    <mergeCell ref="B129:C129"/>
    <mergeCell ref="A130:C130"/>
    <mergeCell ref="B123:C123"/>
    <mergeCell ref="B124:C124"/>
    <mergeCell ref="B125:C125"/>
    <mergeCell ref="B126:C126"/>
    <mergeCell ref="B127:C127"/>
    <mergeCell ref="A128:C128"/>
    <mergeCell ref="A120:D120"/>
    <mergeCell ref="A64:D64"/>
    <mergeCell ref="A72:C72"/>
    <mergeCell ref="A74:D74"/>
    <mergeCell ref="A80:C80"/>
    <mergeCell ref="A82:D82"/>
    <mergeCell ref="A83:D83"/>
    <mergeCell ref="A93:D93"/>
    <mergeCell ref="A98:D98"/>
    <mergeCell ref="A104:D104"/>
    <mergeCell ref="A109:D109"/>
    <mergeCell ref="A110:D110"/>
    <mergeCell ref="A62:C62"/>
    <mergeCell ref="A38:D38"/>
    <mergeCell ref="A49:D49"/>
    <mergeCell ref="A50:D50"/>
    <mergeCell ref="B51:C51"/>
    <mergeCell ref="A55:C55"/>
    <mergeCell ref="A56:D56"/>
    <mergeCell ref="A57:D57"/>
    <mergeCell ref="B58:C58"/>
    <mergeCell ref="B59:C59"/>
    <mergeCell ref="B60:C60"/>
    <mergeCell ref="B61:C61"/>
    <mergeCell ref="A37:D37"/>
    <mergeCell ref="B18:C18"/>
    <mergeCell ref="B19:C19"/>
    <mergeCell ref="A21:D21"/>
    <mergeCell ref="B22:C22"/>
    <mergeCell ref="A27:C27"/>
    <mergeCell ref="A29:D29"/>
    <mergeCell ref="A30:D30"/>
    <mergeCell ref="B31:C31"/>
    <mergeCell ref="A34:B34"/>
    <mergeCell ref="A35:B35"/>
    <mergeCell ref="A36:C36"/>
    <mergeCell ref="B17:C17"/>
    <mergeCell ref="B8:C8"/>
    <mergeCell ref="B9:C9"/>
    <mergeCell ref="B10:C10"/>
    <mergeCell ref="A11:D11"/>
    <mergeCell ref="A12:D12"/>
    <mergeCell ref="A13:C13"/>
    <mergeCell ref="A14:C14"/>
    <mergeCell ref="A15:D15"/>
    <mergeCell ref="A16:D16"/>
    <mergeCell ref="B7:C7"/>
    <mergeCell ref="A1:D1"/>
    <mergeCell ref="A2:D2"/>
    <mergeCell ref="A3:D3"/>
    <mergeCell ref="A4:C4"/>
    <mergeCell ref="A6:D6"/>
  </mergeCells>
  <pageMargins left="0.25" right="0.25" top="0.75" bottom="0.75" header="0.3" footer="0.3"/>
  <pageSetup paperSize="9" scale="95" fitToHeight="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86ADC-BDE9-410F-ABDA-2A2BC5B08B25}">
  <dimension ref="A1:D135"/>
  <sheetViews>
    <sheetView workbookViewId="0">
      <selection activeCell="F17" sqref="F17"/>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16384" width="9.140625" style="104"/>
  </cols>
  <sheetData>
    <row r="1" spans="1:4" x14ac:dyDescent="0.2">
      <c r="A1" s="345" t="s">
        <v>296</v>
      </c>
      <c r="B1" s="345"/>
      <c r="C1" s="345"/>
      <c r="D1" s="345"/>
    </row>
    <row r="2" spans="1:4" x14ac:dyDescent="0.2">
      <c r="A2" s="345"/>
      <c r="B2" s="345"/>
      <c r="C2" s="345"/>
      <c r="D2" s="345"/>
    </row>
    <row r="3" spans="1:4" x14ac:dyDescent="0.2">
      <c r="A3" s="295" t="s">
        <v>30</v>
      </c>
      <c r="B3" s="295"/>
      <c r="C3" s="295"/>
      <c r="D3" s="295"/>
    </row>
    <row r="4" spans="1:4" ht="15" customHeight="1" x14ac:dyDescent="0.2">
      <c r="A4" s="346" t="s">
        <v>31</v>
      </c>
      <c r="B4" s="346"/>
      <c r="C4" s="346"/>
      <c r="D4" s="176"/>
    </row>
    <row r="5" spans="1:4" x14ac:dyDescent="0.2">
      <c r="A5" s="177"/>
      <c r="B5" s="63"/>
      <c r="C5" s="63"/>
      <c r="D5" s="63"/>
    </row>
    <row r="6" spans="1:4" x14ac:dyDescent="0.2">
      <c r="A6" s="347" t="s">
        <v>32</v>
      </c>
      <c r="B6" s="347"/>
      <c r="C6" s="347"/>
      <c r="D6" s="347"/>
    </row>
    <row r="7" spans="1:4" x14ac:dyDescent="0.2">
      <c r="A7" s="132" t="s">
        <v>33</v>
      </c>
      <c r="B7" s="348" t="s">
        <v>34</v>
      </c>
      <c r="C7" s="348"/>
      <c r="D7" s="178"/>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x14ac:dyDescent="0.2">
      <c r="A12" s="294" t="s">
        <v>47</v>
      </c>
      <c r="B12" s="294"/>
      <c r="C12" s="294"/>
      <c r="D12" s="294"/>
    </row>
    <row r="13" spans="1:4" ht="15" customHeight="1" x14ac:dyDescent="0.2">
      <c r="A13" s="277" t="s">
        <v>48</v>
      </c>
      <c r="B13" s="277"/>
      <c r="C13" s="277"/>
      <c r="D13" s="112" t="s">
        <v>221</v>
      </c>
    </row>
    <row r="14" spans="1:4" ht="15" customHeight="1" x14ac:dyDescent="0.2">
      <c r="A14" s="277" t="s">
        <v>150</v>
      </c>
      <c r="B14" s="277"/>
      <c r="C14" s="277"/>
      <c r="D14" s="111" t="s">
        <v>223</v>
      </c>
    </row>
    <row r="15" spans="1:4" x14ac:dyDescent="0.2">
      <c r="A15" s="277"/>
      <c r="B15" s="277"/>
      <c r="C15" s="277"/>
      <c r="D15" s="277"/>
    </row>
    <row r="16" spans="1:4" x14ac:dyDescent="0.2">
      <c r="A16" s="294" t="s">
        <v>49</v>
      </c>
      <c r="B16" s="294"/>
      <c r="C16" s="294"/>
      <c r="D16" s="294"/>
    </row>
    <row r="17" spans="1:4" x14ac:dyDescent="0.2">
      <c r="A17" s="110">
        <v>1</v>
      </c>
      <c r="B17" s="277" t="s">
        <v>252</v>
      </c>
      <c r="C17" s="277"/>
      <c r="D17" s="113">
        <v>3036</v>
      </c>
    </row>
    <row r="18" spans="1:4" ht="25.5" x14ac:dyDescent="0.2">
      <c r="A18" s="112">
        <v>4</v>
      </c>
      <c r="B18" s="277" t="s">
        <v>51</v>
      </c>
      <c r="C18" s="277"/>
      <c r="D18" s="112" t="s">
        <v>305</v>
      </c>
    </row>
    <row r="19" spans="1:4" x14ac:dyDescent="0.2">
      <c r="A19" s="112">
        <v>6</v>
      </c>
      <c r="B19" s="277" t="s">
        <v>52</v>
      </c>
      <c r="C19" s="277"/>
      <c r="D19" s="113">
        <v>1518</v>
      </c>
    </row>
    <row r="20" spans="1:4" x14ac:dyDescent="0.2">
      <c r="A20" s="111"/>
      <c r="B20" s="111"/>
      <c r="C20" s="111"/>
      <c r="D20" s="111"/>
    </row>
    <row r="21" spans="1:4" x14ac:dyDescent="0.2">
      <c r="A21" s="294" t="s">
        <v>53</v>
      </c>
      <c r="B21" s="294"/>
      <c r="C21" s="294"/>
      <c r="D21" s="294"/>
    </row>
    <row r="22" spans="1:4" x14ac:dyDescent="0.2">
      <c r="A22" s="114">
        <v>1</v>
      </c>
      <c r="B22" s="284" t="s">
        <v>55</v>
      </c>
      <c r="C22" s="284"/>
      <c r="D22" s="114" t="s">
        <v>56</v>
      </c>
    </row>
    <row r="23" spans="1:4" x14ac:dyDescent="0.2">
      <c r="A23" s="110" t="s">
        <v>33</v>
      </c>
      <c r="B23" s="110" t="s">
        <v>191</v>
      </c>
      <c r="C23" s="115"/>
      <c r="D23" s="116">
        <f>D17</f>
        <v>3036</v>
      </c>
    </row>
    <row r="24" spans="1:4" x14ac:dyDescent="0.2">
      <c r="A24" s="110" t="s">
        <v>35</v>
      </c>
      <c r="B24" s="110" t="s">
        <v>222</v>
      </c>
      <c r="C24" s="110"/>
      <c r="D24" s="116">
        <f>D23*40%</f>
        <v>1214.4000000000001</v>
      </c>
    </row>
    <row r="25" spans="1:4" x14ac:dyDescent="0.2">
      <c r="A25" s="110" t="s">
        <v>38</v>
      </c>
      <c r="B25" s="110" t="s">
        <v>246</v>
      </c>
      <c r="C25" s="116">
        <v>0</v>
      </c>
      <c r="D25" s="116">
        <v>0</v>
      </c>
    </row>
    <row r="26" spans="1:4" x14ac:dyDescent="0.2">
      <c r="A26" s="284" t="s">
        <v>58</v>
      </c>
      <c r="B26" s="284"/>
      <c r="C26" s="284"/>
      <c r="D26" s="117">
        <f>SUM(D23:D25)</f>
        <v>4250.3999999999996</v>
      </c>
    </row>
    <row r="27" spans="1:4" x14ac:dyDescent="0.2">
      <c r="A27" s="111" t="s">
        <v>54</v>
      </c>
      <c r="B27" s="111"/>
      <c r="C27" s="111"/>
      <c r="D27" s="111"/>
    </row>
    <row r="28" spans="1:4" x14ac:dyDescent="0.2">
      <c r="A28" s="294" t="s">
        <v>59</v>
      </c>
      <c r="B28" s="294"/>
      <c r="C28" s="294"/>
      <c r="D28" s="294"/>
    </row>
    <row r="29" spans="1:4" x14ac:dyDescent="0.2">
      <c r="A29" s="344" t="s">
        <v>60</v>
      </c>
      <c r="B29" s="344"/>
      <c r="C29" s="344"/>
      <c r="D29" s="344"/>
    </row>
    <row r="30" spans="1:4" x14ac:dyDescent="0.2">
      <c r="A30" s="114" t="s">
        <v>61</v>
      </c>
      <c r="B30" s="284" t="s">
        <v>62</v>
      </c>
      <c r="C30" s="284"/>
      <c r="D30" s="114" t="s">
        <v>56</v>
      </c>
    </row>
    <row r="31" spans="1:4" x14ac:dyDescent="0.2">
      <c r="A31" s="111" t="s">
        <v>33</v>
      </c>
      <c r="B31" s="111" t="s">
        <v>63</v>
      </c>
      <c r="C31" s="118">
        <v>8.3299999999999999E-2</v>
      </c>
      <c r="D31" s="119">
        <f>C31*D26</f>
        <v>354.05831999999998</v>
      </c>
    </row>
    <row r="32" spans="1:4" x14ac:dyDescent="0.2">
      <c r="A32" s="111" t="s">
        <v>35</v>
      </c>
      <c r="B32" s="111" t="s">
        <v>64</v>
      </c>
      <c r="C32" s="118">
        <v>2.7799999999999998E-2</v>
      </c>
      <c r="D32" s="119">
        <f>SUM(D26*C32)</f>
        <v>118.16111999999998</v>
      </c>
    </row>
    <row r="33" spans="1:4" x14ac:dyDescent="0.2">
      <c r="A33" s="313" t="s">
        <v>131</v>
      </c>
      <c r="B33" s="313"/>
      <c r="C33" s="120">
        <f>SUM(C31+C32)</f>
        <v>0.1111</v>
      </c>
      <c r="D33" s="121">
        <f>SUM(D31:D32)</f>
        <v>472.21943999999996</v>
      </c>
    </row>
    <row r="34" spans="1:4" x14ac:dyDescent="0.2">
      <c r="A34" s="313" t="s">
        <v>130</v>
      </c>
      <c r="B34" s="293"/>
      <c r="C34" s="123">
        <f>SUM(C39:C46)</f>
        <v>0.36800000000000005</v>
      </c>
      <c r="D34" s="119">
        <f>SUM(D33*C34)</f>
        <v>173.77675392</v>
      </c>
    </row>
    <row r="35" spans="1:4" x14ac:dyDescent="0.2">
      <c r="A35" s="293" t="s">
        <v>58</v>
      </c>
      <c r="B35" s="293"/>
      <c r="C35" s="293"/>
      <c r="D35" s="121">
        <f>SUM(D33+D34)</f>
        <v>645.99619392</v>
      </c>
    </row>
    <row r="36" spans="1:4" x14ac:dyDescent="0.2">
      <c r="A36" s="297"/>
      <c r="B36" s="297"/>
      <c r="C36" s="297"/>
      <c r="D36" s="297"/>
    </row>
    <row r="37" spans="1:4" ht="15" customHeight="1" x14ac:dyDescent="0.2">
      <c r="A37" s="343" t="s">
        <v>65</v>
      </c>
      <c r="B37" s="343"/>
      <c r="C37" s="343"/>
      <c r="D37" s="343"/>
    </row>
    <row r="38" spans="1:4" x14ac:dyDescent="0.2">
      <c r="A38" s="126" t="s">
        <v>66</v>
      </c>
      <c r="B38" s="126" t="s">
        <v>67</v>
      </c>
      <c r="C38" s="126" t="s">
        <v>68</v>
      </c>
      <c r="D38" s="126" t="s">
        <v>56</v>
      </c>
    </row>
    <row r="39" spans="1:4" x14ac:dyDescent="0.2">
      <c r="A39" s="127" t="s">
        <v>33</v>
      </c>
      <c r="B39" s="127" t="s">
        <v>69</v>
      </c>
      <c r="C39" s="123">
        <v>0.2</v>
      </c>
      <c r="D39" s="116">
        <f>D26*C39</f>
        <v>850.07999999999993</v>
      </c>
    </row>
    <row r="40" spans="1:4" x14ac:dyDescent="0.2">
      <c r="A40" s="127" t="s">
        <v>35</v>
      </c>
      <c r="B40" s="127" t="s">
        <v>70</v>
      </c>
      <c r="C40" s="123">
        <v>2.5000000000000001E-2</v>
      </c>
      <c r="D40" s="116">
        <f>D26*C40</f>
        <v>106.25999999999999</v>
      </c>
    </row>
    <row r="41" spans="1:4" x14ac:dyDescent="0.2">
      <c r="A41" s="127" t="s">
        <v>38</v>
      </c>
      <c r="B41" s="128" t="s">
        <v>71</v>
      </c>
      <c r="C41" s="129">
        <v>0.03</v>
      </c>
      <c r="D41" s="116">
        <f>D26*C41</f>
        <v>127.51199999999999</v>
      </c>
    </row>
    <row r="42" spans="1:4" x14ac:dyDescent="0.2">
      <c r="A42" s="127" t="s">
        <v>57</v>
      </c>
      <c r="B42" s="127" t="s">
        <v>72</v>
      </c>
      <c r="C42" s="123">
        <v>1.4999999999999999E-2</v>
      </c>
      <c r="D42" s="116">
        <f>D26*C42</f>
        <v>63.755999999999993</v>
      </c>
    </row>
    <row r="43" spans="1:4" x14ac:dyDescent="0.2">
      <c r="A43" s="127" t="s">
        <v>41</v>
      </c>
      <c r="B43" s="127" t="s">
        <v>73</v>
      </c>
      <c r="C43" s="123">
        <v>0.01</v>
      </c>
      <c r="D43" s="116">
        <f>D26*C43</f>
        <v>42.503999999999998</v>
      </c>
    </row>
    <row r="44" spans="1:4" x14ac:dyDescent="0.2">
      <c r="A44" s="127" t="s">
        <v>42</v>
      </c>
      <c r="B44" s="127" t="s">
        <v>74</v>
      </c>
      <c r="C44" s="123">
        <v>6.0000000000000001E-3</v>
      </c>
      <c r="D44" s="116">
        <f>D26*C44</f>
        <v>25.502399999999998</v>
      </c>
    </row>
    <row r="45" spans="1:4" x14ac:dyDescent="0.2">
      <c r="A45" s="127" t="s">
        <v>43</v>
      </c>
      <c r="B45" s="127" t="s">
        <v>75</v>
      </c>
      <c r="C45" s="123">
        <v>2E-3</v>
      </c>
      <c r="D45" s="116">
        <f>D26*C45</f>
        <v>8.5007999999999999</v>
      </c>
    </row>
    <row r="46" spans="1:4" x14ac:dyDescent="0.2">
      <c r="A46" s="127" t="s">
        <v>44</v>
      </c>
      <c r="B46" s="127" t="s">
        <v>76</v>
      </c>
      <c r="C46" s="123">
        <v>0.08</v>
      </c>
      <c r="D46" s="116">
        <f>D26*C46</f>
        <v>340.03199999999998</v>
      </c>
    </row>
    <row r="47" spans="1:4" x14ac:dyDescent="0.2">
      <c r="A47" s="127"/>
      <c r="B47" s="126" t="s">
        <v>58</v>
      </c>
      <c r="C47" s="123">
        <f>SUM(C39:C46)</f>
        <v>0.36800000000000005</v>
      </c>
      <c r="D47" s="117">
        <f>SUM(D39:D46)</f>
        <v>1564.1471999999999</v>
      </c>
    </row>
    <row r="48" spans="1:4" x14ac:dyDescent="0.2">
      <c r="A48" s="297"/>
      <c r="B48" s="297"/>
      <c r="C48" s="297"/>
      <c r="D48" s="297"/>
    </row>
    <row r="49" spans="1:4" ht="15" customHeight="1" x14ac:dyDescent="0.2">
      <c r="A49" s="343" t="s">
        <v>77</v>
      </c>
      <c r="B49" s="343"/>
      <c r="C49" s="343"/>
      <c r="D49" s="343"/>
    </row>
    <row r="50" spans="1:4" x14ac:dyDescent="0.2">
      <c r="A50" s="114" t="s">
        <v>78</v>
      </c>
      <c r="B50" s="284" t="s">
        <v>79</v>
      </c>
      <c r="C50" s="284"/>
      <c r="D50" s="114" t="s">
        <v>56</v>
      </c>
    </row>
    <row r="51" spans="1:4" x14ac:dyDescent="0.2">
      <c r="A51" s="110" t="s">
        <v>33</v>
      </c>
      <c r="B51" s="110" t="s">
        <v>214</v>
      </c>
      <c r="C51" s="130">
        <v>5.15</v>
      </c>
      <c r="D51" s="119">
        <f>(2*5.15*24) - (D20*6%)</f>
        <v>247.20000000000002</v>
      </c>
    </row>
    <row r="52" spans="1:4" x14ac:dyDescent="0.2">
      <c r="A52" s="110" t="s">
        <v>35</v>
      </c>
      <c r="B52" s="132" t="s">
        <v>254</v>
      </c>
      <c r="C52" s="133">
        <v>27.29</v>
      </c>
      <c r="D52" s="134">
        <f>(C52*24)-142.69</f>
        <v>512.27</v>
      </c>
    </row>
    <row r="53" spans="1:4" x14ac:dyDescent="0.2">
      <c r="A53" s="110" t="s">
        <v>38</v>
      </c>
      <c r="B53" s="132" t="s">
        <v>253</v>
      </c>
      <c r="C53" s="175">
        <v>0.1</v>
      </c>
      <c r="D53" s="134">
        <f>D23*C53</f>
        <v>303.60000000000002</v>
      </c>
    </row>
    <row r="54" spans="1:4" x14ac:dyDescent="0.2">
      <c r="A54" s="110" t="s">
        <v>57</v>
      </c>
      <c r="B54" s="110" t="s">
        <v>243</v>
      </c>
      <c r="C54" s="167"/>
      <c r="D54" s="136">
        <v>49.23</v>
      </c>
    </row>
    <row r="55" spans="1:4" x14ac:dyDescent="0.2">
      <c r="A55" s="284" t="s">
        <v>58</v>
      </c>
      <c r="B55" s="284"/>
      <c r="C55" s="284"/>
      <c r="D55" s="121">
        <f>SUM(D51:D54)</f>
        <v>1112.3000000000002</v>
      </c>
    </row>
    <row r="56" spans="1:4" x14ac:dyDescent="0.2">
      <c r="A56" s="297"/>
      <c r="B56" s="297"/>
      <c r="C56" s="297"/>
      <c r="D56" s="297"/>
    </row>
    <row r="57" spans="1:4" ht="15" customHeight="1" x14ac:dyDescent="0.2">
      <c r="A57" s="343" t="s">
        <v>80</v>
      </c>
      <c r="B57" s="343"/>
      <c r="C57" s="343"/>
      <c r="D57" s="343"/>
    </row>
    <row r="58" spans="1:4" x14ac:dyDescent="0.2">
      <c r="A58" s="114">
        <v>2</v>
      </c>
      <c r="B58" s="284" t="s">
        <v>81</v>
      </c>
      <c r="C58" s="284"/>
      <c r="D58" s="114" t="s">
        <v>56</v>
      </c>
    </row>
    <row r="59" spans="1:4" x14ac:dyDescent="0.2">
      <c r="A59" s="110" t="s">
        <v>61</v>
      </c>
      <c r="B59" s="297" t="s">
        <v>82</v>
      </c>
      <c r="C59" s="297"/>
      <c r="D59" s="116">
        <f>D35</f>
        <v>645.99619392</v>
      </c>
    </row>
    <row r="60" spans="1:4" x14ac:dyDescent="0.2">
      <c r="A60" s="110" t="s">
        <v>66</v>
      </c>
      <c r="B60" s="297" t="s">
        <v>67</v>
      </c>
      <c r="C60" s="297"/>
      <c r="D60" s="116">
        <f>D47</f>
        <v>1564.1471999999999</v>
      </c>
    </row>
    <row r="61" spans="1:4" x14ac:dyDescent="0.2">
      <c r="A61" s="110" t="s">
        <v>78</v>
      </c>
      <c r="B61" s="297" t="s">
        <v>79</v>
      </c>
      <c r="C61" s="297"/>
      <c r="D61" s="116">
        <f>D55</f>
        <v>1112.3000000000002</v>
      </c>
    </row>
    <row r="62" spans="1:4" x14ac:dyDescent="0.2">
      <c r="A62" s="284" t="s">
        <v>58</v>
      </c>
      <c r="B62" s="284"/>
      <c r="C62" s="284"/>
      <c r="D62" s="117">
        <f>SUM(D59:D61)</f>
        <v>3322.4433939199998</v>
      </c>
    </row>
    <row r="63" spans="1:4" x14ac:dyDescent="0.2">
      <c r="A63" s="114"/>
      <c r="B63" s="114"/>
      <c r="C63" s="114"/>
      <c r="D63" s="179"/>
    </row>
    <row r="64" spans="1:4" x14ac:dyDescent="0.2">
      <c r="A64" s="294" t="s">
        <v>137</v>
      </c>
      <c r="B64" s="294"/>
      <c r="C64" s="294"/>
      <c r="D64" s="294"/>
    </row>
    <row r="65" spans="1:4" x14ac:dyDescent="0.2">
      <c r="A65" s="122">
        <v>3</v>
      </c>
      <c r="B65" s="114" t="s">
        <v>83</v>
      </c>
      <c r="C65" s="114" t="s">
        <v>84</v>
      </c>
      <c r="D65" s="114" t="s">
        <v>56</v>
      </c>
    </row>
    <row r="66" spans="1:4" x14ac:dyDescent="0.2">
      <c r="A66" s="111" t="s">
        <v>33</v>
      </c>
      <c r="B66" s="111" t="s">
        <v>85</v>
      </c>
      <c r="C66" s="139">
        <v>4.1700000000000001E-3</v>
      </c>
      <c r="D66" s="140">
        <f>D26*C66</f>
        <v>17.724167999999999</v>
      </c>
    </row>
    <row r="67" spans="1:4" x14ac:dyDescent="0.2">
      <c r="A67" s="111" t="s">
        <v>35</v>
      </c>
      <c r="B67" s="111" t="s">
        <v>86</v>
      </c>
      <c r="C67" s="141">
        <v>3.3399999999999999E-4</v>
      </c>
      <c r="D67" s="142">
        <f>D26*C67</f>
        <v>1.4196335999999998</v>
      </c>
    </row>
    <row r="68" spans="1:4" x14ac:dyDescent="0.2">
      <c r="A68" s="63" t="s">
        <v>38</v>
      </c>
      <c r="B68" s="63" t="s">
        <v>87</v>
      </c>
      <c r="C68" s="143">
        <v>1.6000000000000001E-3</v>
      </c>
      <c r="D68" s="144">
        <f>SUM(D26+D33)*C68</f>
        <v>7.5561911039999998</v>
      </c>
    </row>
    <row r="69" spans="1:4" x14ac:dyDescent="0.2">
      <c r="A69" s="111" t="s">
        <v>57</v>
      </c>
      <c r="B69" s="111" t="s">
        <v>88</v>
      </c>
      <c r="C69" s="145">
        <v>1.84E-2</v>
      </c>
      <c r="D69" s="140">
        <f>D26*C69</f>
        <v>78.207359999999994</v>
      </c>
    </row>
    <row r="70" spans="1:4" ht="25.5" x14ac:dyDescent="0.2">
      <c r="A70" s="110" t="s">
        <v>41</v>
      </c>
      <c r="B70" s="110" t="s">
        <v>89</v>
      </c>
      <c r="C70" s="146">
        <v>5.4000000000000003E-3</v>
      </c>
      <c r="D70" s="147">
        <f>D26*C70</f>
        <v>22.952159999999999</v>
      </c>
    </row>
    <row r="71" spans="1:4" x14ac:dyDescent="0.2">
      <c r="A71" s="63" t="s">
        <v>42</v>
      </c>
      <c r="B71" s="63" t="s">
        <v>90</v>
      </c>
      <c r="C71" s="143">
        <v>3.04E-2</v>
      </c>
      <c r="D71" s="144">
        <f>(D26+D33)*C71</f>
        <v>143.56763097599998</v>
      </c>
    </row>
    <row r="72" spans="1:4" x14ac:dyDescent="0.2">
      <c r="A72" s="293" t="s">
        <v>58</v>
      </c>
      <c r="B72" s="293"/>
      <c r="C72" s="293"/>
      <c r="D72" s="121">
        <f>SUM(D66:D71)</f>
        <v>271.42714367999997</v>
      </c>
    </row>
    <row r="73" spans="1:4" x14ac:dyDescent="0.2">
      <c r="A73" s="122"/>
      <c r="B73" s="122"/>
      <c r="C73" s="122"/>
      <c r="D73" s="180"/>
    </row>
    <row r="74" spans="1:4" x14ac:dyDescent="0.2">
      <c r="A74" s="295" t="s">
        <v>132</v>
      </c>
      <c r="B74" s="295"/>
      <c r="C74" s="295"/>
      <c r="D74" s="295"/>
    </row>
    <row r="75" spans="1:4" x14ac:dyDescent="0.2">
      <c r="A75" s="111" t="s">
        <v>33</v>
      </c>
      <c r="B75" s="111" t="s">
        <v>133</v>
      </c>
      <c r="C75" s="122"/>
      <c r="D75" s="121">
        <f>D26</f>
        <v>4250.3999999999996</v>
      </c>
    </row>
    <row r="76" spans="1:4" x14ac:dyDescent="0.2">
      <c r="A76" s="111" t="s">
        <v>35</v>
      </c>
      <c r="B76" s="111" t="s">
        <v>117</v>
      </c>
      <c r="C76" s="122"/>
      <c r="D76" s="121">
        <f>D62</f>
        <v>3322.4433939199998</v>
      </c>
    </row>
    <row r="77" spans="1:4" x14ac:dyDescent="0.2">
      <c r="A77" s="63" t="s">
        <v>38</v>
      </c>
      <c r="B77" s="63" t="s">
        <v>134</v>
      </c>
      <c r="C77" s="150">
        <f>D75/12</f>
        <v>354.2</v>
      </c>
      <c r="D77" s="150">
        <f>C77*C47+C77</f>
        <v>484.54560000000004</v>
      </c>
    </row>
    <row r="78" spans="1:4" x14ac:dyDescent="0.2">
      <c r="A78" s="111" t="s">
        <v>57</v>
      </c>
      <c r="B78" s="111" t="s">
        <v>118</v>
      </c>
      <c r="C78" s="122"/>
      <c r="D78" s="121">
        <f>D72</f>
        <v>271.42714367999997</v>
      </c>
    </row>
    <row r="79" spans="1:4" x14ac:dyDescent="0.2">
      <c r="A79" s="111" t="s">
        <v>41</v>
      </c>
      <c r="B79" s="111" t="s">
        <v>135</v>
      </c>
      <c r="C79" s="122"/>
      <c r="D79" s="168">
        <f>-(D51+D52)</f>
        <v>-759.47</v>
      </c>
    </row>
    <row r="80" spans="1:4" x14ac:dyDescent="0.2">
      <c r="A80" s="293" t="s">
        <v>136</v>
      </c>
      <c r="B80" s="293"/>
      <c r="C80" s="293"/>
      <c r="D80" s="121">
        <f>SUM(D75:D79)</f>
        <v>7569.3461375999987</v>
      </c>
    </row>
    <row r="81" spans="1:4" x14ac:dyDescent="0.2">
      <c r="A81" s="122"/>
      <c r="B81" s="122"/>
      <c r="C81" s="122"/>
      <c r="D81" s="122"/>
    </row>
    <row r="82" spans="1:4" x14ac:dyDescent="0.2">
      <c r="A82" s="294" t="s">
        <v>91</v>
      </c>
      <c r="B82" s="294"/>
      <c r="C82" s="294"/>
      <c r="D82" s="294"/>
    </row>
    <row r="83" spans="1:4" ht="15" customHeight="1" x14ac:dyDescent="0.2">
      <c r="A83" s="343" t="s">
        <v>92</v>
      </c>
      <c r="B83" s="343"/>
      <c r="C83" s="343"/>
      <c r="D83" s="343"/>
    </row>
    <row r="84" spans="1:4" x14ac:dyDescent="0.2">
      <c r="A84" s="114" t="s">
        <v>93</v>
      </c>
      <c r="B84" s="114" t="s">
        <v>94</v>
      </c>
      <c r="C84" s="114" t="s">
        <v>84</v>
      </c>
      <c r="D84" s="114" t="s">
        <v>56</v>
      </c>
    </row>
    <row r="85" spans="1:4" x14ac:dyDescent="0.2">
      <c r="A85" s="111" t="s">
        <v>33</v>
      </c>
      <c r="B85" s="110" t="s">
        <v>95</v>
      </c>
      <c r="C85" s="123">
        <v>8.3299999999999999E-2</v>
      </c>
      <c r="D85" s="119">
        <f>D80*C85</f>
        <v>630.52653326207985</v>
      </c>
    </row>
    <row r="86" spans="1:4" x14ac:dyDescent="0.2">
      <c r="A86" s="111" t="s">
        <v>35</v>
      </c>
      <c r="B86" s="110" t="s">
        <v>138</v>
      </c>
      <c r="C86" s="151">
        <v>2.2200000000000002E-3</v>
      </c>
      <c r="D86" s="119">
        <f>D80*C86</f>
        <v>16.803948425471997</v>
      </c>
    </row>
    <row r="87" spans="1:4" x14ac:dyDescent="0.2">
      <c r="A87" s="111" t="s">
        <v>38</v>
      </c>
      <c r="B87" s="110" t="s">
        <v>96</v>
      </c>
      <c r="C87" s="151">
        <v>2.0000000000000001E-4</v>
      </c>
      <c r="D87" s="119">
        <f>D80*C87</f>
        <v>1.5138692275199999</v>
      </c>
    </row>
    <row r="88" spans="1:4" x14ac:dyDescent="0.2">
      <c r="A88" s="111" t="s">
        <v>57</v>
      </c>
      <c r="B88" s="110" t="s">
        <v>97</v>
      </c>
      <c r="C88" s="151">
        <v>2.7999999999999998E-4</v>
      </c>
      <c r="D88" s="119">
        <f>D80*C88</f>
        <v>2.1194169185279996</v>
      </c>
    </row>
    <row r="89" spans="1:4" x14ac:dyDescent="0.2">
      <c r="A89" s="111"/>
      <c r="B89" s="110" t="s">
        <v>139</v>
      </c>
      <c r="C89" s="151">
        <v>3.5999999999999999E-3</v>
      </c>
      <c r="D89" s="119">
        <f>D80*C89</f>
        <v>27.249646095359996</v>
      </c>
    </row>
    <row r="90" spans="1:4" x14ac:dyDescent="0.2">
      <c r="A90" s="111" t="s">
        <v>41</v>
      </c>
      <c r="B90" s="110" t="s">
        <v>98</v>
      </c>
      <c r="C90" s="151">
        <v>3.8999999999999999E-4</v>
      </c>
      <c r="D90" s="119">
        <f>D80*C90</f>
        <v>2.9520449936639994</v>
      </c>
    </row>
    <row r="91" spans="1:4" x14ac:dyDescent="0.2">
      <c r="A91" s="111" t="s">
        <v>42</v>
      </c>
      <c r="B91" s="110" t="s">
        <v>126</v>
      </c>
      <c r="C91" s="146"/>
      <c r="D91" s="119">
        <f>(($D$26+$D$62+$D$72)-$D$51)*C91</f>
        <v>0</v>
      </c>
    </row>
    <row r="92" spans="1:4" x14ac:dyDescent="0.2">
      <c r="A92" s="122" t="s">
        <v>58</v>
      </c>
      <c r="B92" s="122"/>
      <c r="C92" s="122"/>
      <c r="D92" s="121">
        <f>SUM(D85:D91)</f>
        <v>681.16545892262388</v>
      </c>
    </row>
    <row r="93" spans="1:4" ht="15" customHeight="1" x14ac:dyDescent="0.2">
      <c r="A93" s="343" t="s">
        <v>99</v>
      </c>
      <c r="B93" s="343"/>
      <c r="C93" s="343"/>
      <c r="D93" s="343"/>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10"/>
      <c r="B97" s="110"/>
      <c r="C97" s="110"/>
      <c r="D97" s="110"/>
    </row>
    <row r="98" spans="1:4" ht="15" customHeight="1" x14ac:dyDescent="0.2">
      <c r="A98" s="343" t="s">
        <v>103</v>
      </c>
      <c r="B98" s="343"/>
      <c r="C98" s="343"/>
      <c r="D98" s="343"/>
    </row>
    <row r="99" spans="1:4" x14ac:dyDescent="0.2">
      <c r="A99" s="114">
        <v>4</v>
      </c>
      <c r="B99" s="114" t="s">
        <v>104</v>
      </c>
      <c r="C99" s="114"/>
      <c r="D99" s="114" t="s">
        <v>56</v>
      </c>
    </row>
    <row r="100" spans="1:4" x14ac:dyDescent="0.2">
      <c r="A100" s="110" t="s">
        <v>93</v>
      </c>
      <c r="B100" s="110" t="s">
        <v>94</v>
      </c>
      <c r="C100" s="110"/>
      <c r="D100" s="156">
        <f>D92</f>
        <v>681.16545892262388</v>
      </c>
    </row>
    <row r="101" spans="1:4" x14ac:dyDescent="0.2">
      <c r="A101" s="110" t="s">
        <v>100</v>
      </c>
      <c r="B101" s="110" t="s">
        <v>101</v>
      </c>
      <c r="C101" s="110"/>
      <c r="D101" s="119">
        <f>D96</f>
        <v>0</v>
      </c>
    </row>
    <row r="102" spans="1:4" x14ac:dyDescent="0.2">
      <c r="A102" s="122" t="s">
        <v>58</v>
      </c>
      <c r="B102" s="122"/>
      <c r="C102" s="122"/>
      <c r="D102" s="121">
        <f>SUM(D100:D101)</f>
        <v>681.16545892262388</v>
      </c>
    </row>
    <row r="103" spans="1:4" x14ac:dyDescent="0.2">
      <c r="A103" s="111" t="s">
        <v>54</v>
      </c>
      <c r="B103" s="111"/>
      <c r="C103" s="111"/>
      <c r="D103" s="111"/>
    </row>
    <row r="104" spans="1:4" ht="15" customHeight="1" x14ac:dyDescent="0.2">
      <c r="A104" s="343" t="s">
        <v>105</v>
      </c>
      <c r="B104" s="343"/>
      <c r="C104" s="343"/>
      <c r="D104" s="343"/>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v>0</v>
      </c>
    </row>
    <row r="108" spans="1:4" x14ac:dyDescent="0.2">
      <c r="A108" s="114" t="s">
        <v>58</v>
      </c>
      <c r="B108" s="114"/>
      <c r="C108" s="114"/>
      <c r="D108" s="117">
        <f>D106+D107</f>
        <v>137.56</v>
      </c>
    </row>
    <row r="109" spans="1:4" x14ac:dyDescent="0.2">
      <c r="A109" s="284"/>
      <c r="B109" s="284"/>
      <c r="C109" s="284"/>
      <c r="D109" s="284"/>
    </row>
    <row r="110" spans="1:4" ht="15" customHeight="1" x14ac:dyDescent="0.2">
      <c r="A110" s="343" t="s">
        <v>107</v>
      </c>
      <c r="B110" s="343"/>
      <c r="C110" s="343"/>
      <c r="D110" s="343"/>
    </row>
    <row r="111" spans="1:4" x14ac:dyDescent="0.2">
      <c r="A111" s="114">
        <v>6</v>
      </c>
      <c r="B111" s="114" t="s">
        <v>108</v>
      </c>
      <c r="C111" s="114" t="s">
        <v>68</v>
      </c>
      <c r="D111" s="114" t="s">
        <v>56</v>
      </c>
    </row>
    <row r="112" spans="1:4" x14ac:dyDescent="0.2">
      <c r="A112" s="110" t="s">
        <v>33</v>
      </c>
      <c r="B112" s="160" t="s">
        <v>109</v>
      </c>
      <c r="C112" s="161">
        <v>0.05</v>
      </c>
      <c r="D112" s="116">
        <f>C112*D128</f>
        <v>433.14979982613113</v>
      </c>
    </row>
    <row r="113" spans="1:4" x14ac:dyDescent="0.2">
      <c r="A113" s="110" t="s">
        <v>35</v>
      </c>
      <c r="B113" s="160" t="s">
        <v>110</v>
      </c>
      <c r="C113" s="161">
        <v>0.1</v>
      </c>
      <c r="D113" s="116">
        <f>C113*(D112+D128)</f>
        <v>909.61457963487544</v>
      </c>
    </row>
    <row r="114" spans="1:4" x14ac:dyDescent="0.2">
      <c r="A114" s="110" t="s">
        <v>38</v>
      </c>
      <c r="B114" s="160" t="s">
        <v>111</v>
      </c>
      <c r="C114" s="162">
        <f>SUM(C115:C117)</f>
        <v>5.6499999999999995E-2</v>
      </c>
      <c r="D114" s="116">
        <f>(D26+D62+D72+D102+D107+D112+D113)*(C115+C116+C117)/(1-(C115+C116+C117))</f>
        <v>590.94151695079495</v>
      </c>
    </row>
    <row r="115" spans="1:4" x14ac:dyDescent="0.2">
      <c r="A115" s="110"/>
      <c r="B115" s="132" t="s">
        <v>112</v>
      </c>
      <c r="C115" s="162">
        <v>6.4999999999999997E-3</v>
      </c>
      <c r="D115" s="116">
        <f>C115*D130</f>
        <v>68.878562304073753</v>
      </c>
    </row>
    <row r="116" spans="1:4" x14ac:dyDescent="0.2">
      <c r="A116" s="110"/>
      <c r="B116" s="132" t="s">
        <v>113</v>
      </c>
      <c r="C116" s="162">
        <v>0.03</v>
      </c>
      <c r="D116" s="116">
        <f>C116*D130</f>
        <v>317.90105678803275</v>
      </c>
    </row>
    <row r="117" spans="1:4" x14ac:dyDescent="0.2">
      <c r="A117" s="110"/>
      <c r="B117" s="110" t="s">
        <v>114</v>
      </c>
      <c r="C117" s="163">
        <v>0.02</v>
      </c>
      <c r="D117" s="116">
        <f>C117*D130</f>
        <v>211.9340378586885</v>
      </c>
    </row>
    <row r="118" spans="1:4" x14ac:dyDescent="0.2">
      <c r="A118" s="114" t="s">
        <v>58</v>
      </c>
      <c r="B118" s="114"/>
      <c r="C118" s="114"/>
      <c r="D118" s="117">
        <f>SUM(D112:D114)</f>
        <v>1933.7058964118016</v>
      </c>
    </row>
    <row r="119" spans="1:4" x14ac:dyDescent="0.2">
      <c r="A119" s="111"/>
      <c r="B119" s="111"/>
      <c r="C119" s="111"/>
      <c r="D119" s="111"/>
    </row>
    <row r="120" spans="1:4" ht="15" customHeight="1" x14ac:dyDescent="0.2">
      <c r="A120" s="343" t="s">
        <v>115</v>
      </c>
      <c r="B120" s="343"/>
      <c r="C120" s="343"/>
      <c r="D120" s="343"/>
    </row>
    <row r="121" spans="1:4" x14ac:dyDescent="0.2">
      <c r="A121" s="111" t="s">
        <v>54</v>
      </c>
      <c r="B121" s="111"/>
      <c r="C121" s="111"/>
      <c r="D121" s="111"/>
    </row>
    <row r="122" spans="1:4" x14ac:dyDescent="0.2">
      <c r="A122" s="110"/>
      <c r="B122" s="114" t="s">
        <v>116</v>
      </c>
      <c r="C122" s="114"/>
      <c r="D122" s="114" t="s">
        <v>56</v>
      </c>
    </row>
    <row r="123" spans="1:4" x14ac:dyDescent="0.2">
      <c r="A123" s="110" t="s">
        <v>33</v>
      </c>
      <c r="B123" s="297" t="s">
        <v>53</v>
      </c>
      <c r="C123" s="297"/>
      <c r="D123" s="116">
        <f>D26</f>
        <v>4250.3999999999996</v>
      </c>
    </row>
    <row r="124" spans="1:4" x14ac:dyDescent="0.2">
      <c r="A124" s="110" t="s">
        <v>35</v>
      </c>
      <c r="B124" s="297" t="s">
        <v>117</v>
      </c>
      <c r="C124" s="297"/>
      <c r="D124" s="116">
        <f>D62</f>
        <v>3322.4433939199998</v>
      </c>
    </row>
    <row r="125" spans="1:4" x14ac:dyDescent="0.2">
      <c r="A125" s="110" t="s">
        <v>38</v>
      </c>
      <c r="B125" s="297" t="s">
        <v>118</v>
      </c>
      <c r="C125" s="297"/>
      <c r="D125" s="116">
        <f>D72</f>
        <v>271.42714367999997</v>
      </c>
    </row>
    <row r="126" spans="1:4" x14ac:dyDescent="0.2">
      <c r="A126" s="110" t="s">
        <v>57</v>
      </c>
      <c r="B126" s="297" t="s">
        <v>119</v>
      </c>
      <c r="C126" s="297"/>
      <c r="D126" s="116">
        <f>D102</f>
        <v>681.16545892262388</v>
      </c>
    </row>
    <row r="127" spans="1:4" x14ac:dyDescent="0.2">
      <c r="A127" s="110" t="s">
        <v>41</v>
      </c>
      <c r="B127" s="297" t="s">
        <v>120</v>
      </c>
      <c r="C127" s="297"/>
      <c r="D127" s="116">
        <f>D108</f>
        <v>137.56</v>
      </c>
    </row>
    <row r="128" spans="1:4" ht="15" customHeight="1" x14ac:dyDescent="0.2">
      <c r="A128" s="284" t="s">
        <v>121</v>
      </c>
      <c r="B128" s="284"/>
      <c r="C128" s="284"/>
      <c r="D128" s="117">
        <f>SUM(D123:D127)</f>
        <v>8662.9959965226226</v>
      </c>
    </row>
    <row r="129" spans="1:4" x14ac:dyDescent="0.2">
      <c r="A129" s="110" t="s">
        <v>42</v>
      </c>
      <c r="B129" s="297" t="s">
        <v>122</v>
      </c>
      <c r="C129" s="297"/>
      <c r="D129" s="116">
        <f>D118</f>
        <v>1933.7058964118016</v>
      </c>
    </row>
    <row r="130" spans="1:4" x14ac:dyDescent="0.2">
      <c r="A130" s="293" t="s">
        <v>123</v>
      </c>
      <c r="B130" s="293"/>
      <c r="C130" s="293"/>
      <c r="D130" s="121">
        <f>SUM(D128+D129)</f>
        <v>10596.701892934425</v>
      </c>
    </row>
    <row r="131" spans="1:4" x14ac:dyDescent="0.2">
      <c r="A131" s="122"/>
      <c r="B131" s="122"/>
      <c r="C131" s="122"/>
      <c r="D131" s="180"/>
    </row>
    <row r="132" spans="1:4" x14ac:dyDescent="0.2">
      <c r="A132" s="122"/>
      <c r="B132" s="122"/>
      <c r="C132" s="122" t="s">
        <v>129</v>
      </c>
      <c r="D132" s="122">
        <v>4</v>
      </c>
    </row>
    <row r="133" spans="1:4" x14ac:dyDescent="0.2">
      <c r="A133" s="111"/>
      <c r="B133" s="111"/>
      <c r="C133" s="111" t="s">
        <v>124</v>
      </c>
      <c r="D133" s="164">
        <f>D132*D130</f>
        <v>42386.8075717377</v>
      </c>
    </row>
    <row r="134" spans="1:4" x14ac:dyDescent="0.2">
      <c r="A134" s="111"/>
      <c r="B134" s="111"/>
      <c r="C134" s="122" t="s">
        <v>128</v>
      </c>
      <c r="D134" s="165">
        <v>12</v>
      </c>
    </row>
    <row r="135" spans="1:4" x14ac:dyDescent="0.2">
      <c r="A135" s="111"/>
      <c r="B135" s="111"/>
      <c r="C135" s="111" t="s">
        <v>125</v>
      </c>
      <c r="D135" s="166">
        <f>D134*D133</f>
        <v>508641.69086085237</v>
      </c>
    </row>
  </sheetData>
  <mergeCells count="60">
    <mergeCell ref="A29:D29"/>
    <mergeCell ref="A13:C13"/>
    <mergeCell ref="A1:D1"/>
    <mergeCell ref="A2:D2"/>
    <mergeCell ref="A3:D3"/>
    <mergeCell ref="A4:C4"/>
    <mergeCell ref="A6:D6"/>
    <mergeCell ref="B7:C7"/>
    <mergeCell ref="B8:C8"/>
    <mergeCell ref="B9:C9"/>
    <mergeCell ref="B10:C10"/>
    <mergeCell ref="A11:D11"/>
    <mergeCell ref="A12:D12"/>
    <mergeCell ref="B19:C19"/>
    <mergeCell ref="A21:D21"/>
    <mergeCell ref="B22:C22"/>
    <mergeCell ref="A28:D28"/>
    <mergeCell ref="A26:C26"/>
    <mergeCell ref="A14:C14"/>
    <mergeCell ref="A15:D15"/>
    <mergeCell ref="A16:D16"/>
    <mergeCell ref="B17:C17"/>
    <mergeCell ref="B18:C18"/>
    <mergeCell ref="A62:C62"/>
    <mergeCell ref="A33:B33"/>
    <mergeCell ref="A36:D36"/>
    <mergeCell ref="A48:D48"/>
    <mergeCell ref="B50:C50"/>
    <mergeCell ref="A55:C55"/>
    <mergeCell ref="A56:D56"/>
    <mergeCell ref="B58:C58"/>
    <mergeCell ref="B59:C59"/>
    <mergeCell ref="A57:D57"/>
    <mergeCell ref="B60:C60"/>
    <mergeCell ref="B61:C61"/>
    <mergeCell ref="B30:C30"/>
    <mergeCell ref="A34:B34"/>
    <mergeCell ref="A35:C35"/>
    <mergeCell ref="A37:D37"/>
    <mergeCell ref="A49:D49"/>
    <mergeCell ref="A64:D64"/>
    <mergeCell ref="A72:C72"/>
    <mergeCell ref="A74:D74"/>
    <mergeCell ref="A80:C80"/>
    <mergeCell ref="A82:D82"/>
    <mergeCell ref="B129:C129"/>
    <mergeCell ref="A130:C130"/>
    <mergeCell ref="A83:D83"/>
    <mergeCell ref="A93:D93"/>
    <mergeCell ref="A98:D98"/>
    <mergeCell ref="A104:D104"/>
    <mergeCell ref="A109:D109"/>
    <mergeCell ref="A128:C128"/>
    <mergeCell ref="B123:C123"/>
    <mergeCell ref="B124:C124"/>
    <mergeCell ref="B125:C125"/>
    <mergeCell ref="B127:C127"/>
    <mergeCell ref="A110:D110"/>
    <mergeCell ref="A120:D120"/>
    <mergeCell ref="B126:C126"/>
  </mergeCells>
  <pageMargins left="0.25" right="0.25"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640-BBC9-45C5-BA96-FEDEC271D291}">
  <dimension ref="A1:H135"/>
  <sheetViews>
    <sheetView workbookViewId="0">
      <selection sqref="A1:D1"/>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6" width="9.5703125" style="104" bestFit="1" customWidth="1"/>
    <col min="7" max="7" width="10.5703125" style="104" bestFit="1" customWidth="1"/>
    <col min="8" max="8" width="12.140625" style="104" bestFit="1" customWidth="1"/>
    <col min="9"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221</v>
      </c>
    </row>
    <row r="14" spans="1:4" x14ac:dyDescent="0.2">
      <c r="A14" s="277" t="s">
        <v>150</v>
      </c>
      <c r="B14" s="277"/>
      <c r="C14" s="277"/>
      <c r="D14" s="111" t="s">
        <v>223</v>
      </c>
    </row>
    <row r="15" spans="1:4" x14ac:dyDescent="0.2">
      <c r="A15" s="274"/>
      <c r="B15" s="274"/>
      <c r="C15" s="274"/>
      <c r="D15" s="275"/>
    </row>
    <row r="16" spans="1:4" ht="13.5" thickBot="1" x14ac:dyDescent="0.25">
      <c r="A16" s="276" t="s">
        <v>49</v>
      </c>
      <c r="B16" s="276"/>
      <c r="C16" s="276"/>
      <c r="D16" s="276"/>
    </row>
    <row r="17" spans="1:8" x14ac:dyDescent="0.2">
      <c r="A17" s="110">
        <v>1</v>
      </c>
      <c r="B17" s="278" t="s">
        <v>252</v>
      </c>
      <c r="C17" s="279"/>
      <c r="D17" s="113">
        <v>3036</v>
      </c>
    </row>
    <row r="18" spans="1:8" ht="25.5" x14ac:dyDescent="0.2">
      <c r="A18" s="112">
        <v>4</v>
      </c>
      <c r="B18" s="277" t="s">
        <v>51</v>
      </c>
      <c r="C18" s="277"/>
      <c r="D18" s="112" t="s">
        <v>306</v>
      </c>
    </row>
    <row r="19" spans="1:8" x14ac:dyDescent="0.2">
      <c r="A19" s="112">
        <v>6</v>
      </c>
      <c r="B19" s="277" t="s">
        <v>52</v>
      </c>
      <c r="C19" s="277"/>
      <c r="D19" s="113">
        <v>1518</v>
      </c>
    </row>
    <row r="20" spans="1:8" ht="13.5" thickBot="1" x14ac:dyDescent="0.25">
      <c r="A20" s="62"/>
      <c r="B20" s="62"/>
      <c r="C20" s="62"/>
      <c r="D20" s="62"/>
    </row>
    <row r="21" spans="1:8" ht="13.5" thickBot="1" x14ac:dyDescent="0.25">
      <c r="A21" s="280" t="s">
        <v>53</v>
      </c>
      <c r="B21" s="280"/>
      <c r="C21" s="280"/>
      <c r="D21" s="280"/>
    </row>
    <row r="22" spans="1:8" x14ac:dyDescent="0.2">
      <c r="A22" s="114">
        <v>1</v>
      </c>
      <c r="B22" s="284" t="s">
        <v>55</v>
      </c>
      <c r="C22" s="284"/>
      <c r="D22" s="114" t="s">
        <v>56</v>
      </c>
    </row>
    <row r="23" spans="1:8" x14ac:dyDescent="0.2">
      <c r="A23" s="110" t="s">
        <v>33</v>
      </c>
      <c r="B23" s="110" t="s">
        <v>191</v>
      </c>
      <c r="C23" s="115"/>
      <c r="D23" s="116">
        <f>D17</f>
        <v>3036</v>
      </c>
    </row>
    <row r="24" spans="1:8" x14ac:dyDescent="0.2">
      <c r="A24" s="110" t="s">
        <v>35</v>
      </c>
      <c r="B24" s="110" t="s">
        <v>222</v>
      </c>
      <c r="C24" s="110"/>
      <c r="D24" s="116">
        <f>D23*40%</f>
        <v>1214.4000000000001</v>
      </c>
    </row>
    <row r="25" spans="1:8" x14ac:dyDescent="0.2">
      <c r="A25" s="110" t="s">
        <v>38</v>
      </c>
      <c r="B25" s="110" t="s">
        <v>256</v>
      </c>
      <c r="C25" s="116">
        <f>D23+D24</f>
        <v>4250.3999999999996</v>
      </c>
      <c r="D25" s="116">
        <v>1445.16</v>
      </c>
      <c r="E25" s="185"/>
      <c r="F25" s="185"/>
      <c r="G25" s="185"/>
      <c r="H25" s="185"/>
    </row>
    <row r="26" spans="1:8" x14ac:dyDescent="0.2">
      <c r="A26" s="284" t="s">
        <v>58</v>
      </c>
      <c r="B26" s="284"/>
      <c r="C26" s="284"/>
      <c r="D26" s="117">
        <f>SUM(D23:D25)</f>
        <v>5695.5599999999995</v>
      </c>
    </row>
    <row r="27" spans="1:8" ht="13.5" thickBot="1" x14ac:dyDescent="0.25">
      <c r="A27" s="62" t="s">
        <v>54</v>
      </c>
      <c r="B27" s="62"/>
      <c r="C27" s="62"/>
      <c r="D27" s="62"/>
    </row>
    <row r="28" spans="1:8" ht="13.5" thickBot="1" x14ac:dyDescent="0.25">
      <c r="A28" s="280" t="s">
        <v>59</v>
      </c>
      <c r="B28" s="280"/>
      <c r="C28" s="280"/>
      <c r="D28" s="280"/>
    </row>
    <row r="29" spans="1:8" x14ac:dyDescent="0.2">
      <c r="A29" s="312" t="s">
        <v>60</v>
      </c>
      <c r="B29" s="312"/>
      <c r="C29" s="312"/>
      <c r="D29" s="312"/>
    </row>
    <row r="30" spans="1:8" x14ac:dyDescent="0.2">
      <c r="A30" s="114" t="s">
        <v>61</v>
      </c>
      <c r="B30" s="284" t="s">
        <v>62</v>
      </c>
      <c r="C30" s="284"/>
      <c r="D30" s="114" t="s">
        <v>56</v>
      </c>
    </row>
    <row r="31" spans="1:8" x14ac:dyDescent="0.2">
      <c r="A31" s="111" t="s">
        <v>33</v>
      </c>
      <c r="B31" s="111" t="s">
        <v>63</v>
      </c>
      <c r="C31" s="118">
        <v>8.3299999999999999E-2</v>
      </c>
      <c r="D31" s="119">
        <f>C31*D26</f>
        <v>474.44014799999997</v>
      </c>
    </row>
    <row r="32" spans="1:8" x14ac:dyDescent="0.2">
      <c r="A32" s="111" t="s">
        <v>35</v>
      </c>
      <c r="B32" s="111" t="s">
        <v>64</v>
      </c>
      <c r="C32" s="118">
        <v>2.7799999999999998E-2</v>
      </c>
      <c r="D32" s="119">
        <f>SUM(D26*C32)</f>
        <v>158.33656799999997</v>
      </c>
    </row>
    <row r="33" spans="1:4" x14ac:dyDescent="0.2">
      <c r="A33" s="305" t="s">
        <v>131</v>
      </c>
      <c r="B33" s="306"/>
      <c r="C33" s="120">
        <f>SUM(C31+C32)</f>
        <v>0.1111</v>
      </c>
      <c r="D33" s="121">
        <f>SUM(D31:D32)</f>
        <v>632.77671599999996</v>
      </c>
    </row>
    <row r="34" spans="1:4" x14ac:dyDescent="0.2">
      <c r="A34" s="313" t="s">
        <v>130</v>
      </c>
      <c r="B34" s="293"/>
      <c r="C34" s="123">
        <f>SUM(C39:C46)</f>
        <v>0.36800000000000005</v>
      </c>
      <c r="D34" s="119">
        <f>SUM(D33*C34)</f>
        <v>232.86183148800001</v>
      </c>
    </row>
    <row r="35" spans="1:4" x14ac:dyDescent="0.2">
      <c r="A35" s="307" t="s">
        <v>58</v>
      </c>
      <c r="B35" s="308"/>
      <c r="C35" s="309"/>
      <c r="D35" s="124">
        <f>SUM(D33+D34)</f>
        <v>865.63854748799997</v>
      </c>
    </row>
    <row r="36" spans="1:4" x14ac:dyDescent="0.2">
      <c r="A36" s="304"/>
      <c r="B36" s="304"/>
      <c r="C36" s="304"/>
      <c r="D36" s="304"/>
    </row>
    <row r="37" spans="1:4" x14ac:dyDescent="0.2">
      <c r="A37" s="296" t="s">
        <v>65</v>
      </c>
      <c r="B37" s="296"/>
      <c r="C37" s="296"/>
      <c r="D37" s="296"/>
    </row>
    <row r="38" spans="1:4" x14ac:dyDescent="0.2">
      <c r="A38" s="126" t="s">
        <v>66</v>
      </c>
      <c r="B38" s="126" t="s">
        <v>67</v>
      </c>
      <c r="C38" s="126" t="s">
        <v>68</v>
      </c>
      <c r="D38" s="126" t="s">
        <v>56</v>
      </c>
    </row>
    <row r="39" spans="1:4" x14ac:dyDescent="0.2">
      <c r="A39" s="127" t="s">
        <v>33</v>
      </c>
      <c r="B39" s="127" t="s">
        <v>69</v>
      </c>
      <c r="C39" s="123">
        <v>0.2</v>
      </c>
      <c r="D39" s="116">
        <f>D26*C39</f>
        <v>1139.1119999999999</v>
      </c>
    </row>
    <row r="40" spans="1:4" x14ac:dyDescent="0.2">
      <c r="A40" s="127" t="s">
        <v>35</v>
      </c>
      <c r="B40" s="127" t="s">
        <v>70</v>
      </c>
      <c r="C40" s="123">
        <v>2.5000000000000001E-2</v>
      </c>
      <c r="D40" s="116">
        <f>D26*C40</f>
        <v>142.38899999999998</v>
      </c>
    </row>
    <row r="41" spans="1:4" x14ac:dyDescent="0.2">
      <c r="A41" s="127" t="s">
        <v>38</v>
      </c>
      <c r="B41" s="128" t="s">
        <v>71</v>
      </c>
      <c r="C41" s="129">
        <v>0.03</v>
      </c>
      <c r="D41" s="116">
        <f>D26*C41</f>
        <v>170.86679999999998</v>
      </c>
    </row>
    <row r="42" spans="1:4" x14ac:dyDescent="0.2">
      <c r="A42" s="127" t="s">
        <v>57</v>
      </c>
      <c r="B42" s="127" t="s">
        <v>72</v>
      </c>
      <c r="C42" s="123">
        <v>1.4999999999999999E-2</v>
      </c>
      <c r="D42" s="116">
        <f>D26*C42</f>
        <v>85.433399999999992</v>
      </c>
    </row>
    <row r="43" spans="1:4" x14ac:dyDescent="0.2">
      <c r="A43" s="127" t="s">
        <v>41</v>
      </c>
      <c r="B43" s="127" t="s">
        <v>73</v>
      </c>
      <c r="C43" s="123">
        <v>0.01</v>
      </c>
      <c r="D43" s="116">
        <f>D26*C43</f>
        <v>56.955599999999997</v>
      </c>
    </row>
    <row r="44" spans="1:4" x14ac:dyDescent="0.2">
      <c r="A44" s="127" t="s">
        <v>42</v>
      </c>
      <c r="B44" s="127" t="s">
        <v>74</v>
      </c>
      <c r="C44" s="123">
        <v>6.0000000000000001E-3</v>
      </c>
      <c r="D44" s="116">
        <f>D26*C44</f>
        <v>34.173359999999995</v>
      </c>
    </row>
    <row r="45" spans="1:4" x14ac:dyDescent="0.2">
      <c r="A45" s="127" t="s">
        <v>43</v>
      </c>
      <c r="B45" s="127" t="s">
        <v>75</v>
      </c>
      <c r="C45" s="123">
        <v>2E-3</v>
      </c>
      <c r="D45" s="116">
        <f>D26*C45</f>
        <v>11.391119999999999</v>
      </c>
    </row>
    <row r="46" spans="1:4" x14ac:dyDescent="0.2">
      <c r="A46" s="127" t="s">
        <v>44</v>
      </c>
      <c r="B46" s="127" t="s">
        <v>76</v>
      </c>
      <c r="C46" s="123">
        <v>0.08</v>
      </c>
      <c r="D46" s="116">
        <f>D26*C46</f>
        <v>455.64479999999998</v>
      </c>
    </row>
    <row r="47" spans="1:4" x14ac:dyDescent="0.2">
      <c r="A47" s="127"/>
      <c r="B47" s="126" t="s">
        <v>58</v>
      </c>
      <c r="C47" s="123">
        <f>SUM(C39:C46)</f>
        <v>0.36800000000000005</v>
      </c>
      <c r="D47" s="117">
        <f>SUM(D39:D46)</f>
        <v>2095.9660799999997</v>
      </c>
    </row>
    <row r="48" spans="1:4" x14ac:dyDescent="0.2">
      <c r="A48" s="304"/>
      <c r="B48" s="304"/>
      <c r="C48" s="304"/>
      <c r="D48" s="304"/>
    </row>
    <row r="49" spans="1:4" x14ac:dyDescent="0.2">
      <c r="A49" s="296" t="s">
        <v>77</v>
      </c>
      <c r="B49" s="296"/>
      <c r="C49" s="296"/>
      <c r="D49" s="296"/>
    </row>
    <row r="50" spans="1:4" x14ac:dyDescent="0.2">
      <c r="A50" s="114" t="s">
        <v>78</v>
      </c>
      <c r="B50" s="284" t="s">
        <v>79</v>
      </c>
      <c r="C50" s="284"/>
      <c r="D50" s="114" t="s">
        <v>56</v>
      </c>
    </row>
    <row r="51" spans="1:4" x14ac:dyDescent="0.2">
      <c r="A51" s="110" t="s">
        <v>33</v>
      </c>
      <c r="B51" s="110" t="s">
        <v>214</v>
      </c>
      <c r="C51" s="130">
        <v>5.15</v>
      </c>
      <c r="D51" s="119">
        <f>(2*5.15*24) - (D20*6%)</f>
        <v>247.20000000000002</v>
      </c>
    </row>
    <row r="52" spans="1:4" x14ac:dyDescent="0.2">
      <c r="A52" s="110" t="s">
        <v>35</v>
      </c>
      <c r="B52" s="132" t="s">
        <v>254</v>
      </c>
      <c r="C52" s="133">
        <v>27.29</v>
      </c>
      <c r="D52" s="134">
        <f>(C52*24)-142.69</f>
        <v>512.27</v>
      </c>
    </row>
    <row r="53" spans="1:4" x14ac:dyDescent="0.2">
      <c r="A53" s="110" t="s">
        <v>38</v>
      </c>
      <c r="B53" s="132" t="s">
        <v>253</v>
      </c>
      <c r="C53" s="175">
        <v>0.1</v>
      </c>
      <c r="D53" s="134">
        <f>D23*C53</f>
        <v>303.60000000000002</v>
      </c>
    </row>
    <row r="54" spans="1:4" x14ac:dyDescent="0.2">
      <c r="A54" s="110" t="s">
        <v>57</v>
      </c>
      <c r="B54" s="110" t="s">
        <v>243</v>
      </c>
      <c r="C54" s="167"/>
      <c r="D54" s="136">
        <v>49.23</v>
      </c>
    </row>
    <row r="55" spans="1:4" x14ac:dyDescent="0.2">
      <c r="A55" s="284" t="s">
        <v>58</v>
      </c>
      <c r="B55" s="284"/>
      <c r="C55" s="284"/>
      <c r="D55" s="121">
        <f>SUM(D51:D54)</f>
        <v>1112.3000000000002</v>
      </c>
    </row>
    <row r="56" spans="1:4" x14ac:dyDescent="0.2">
      <c r="A56" s="327"/>
      <c r="B56" s="327"/>
      <c r="C56" s="327"/>
      <c r="D56" s="327"/>
    </row>
    <row r="57" spans="1:4"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D35</f>
        <v>865.63854748799997</v>
      </c>
    </row>
    <row r="60" spans="1:4" x14ac:dyDescent="0.2">
      <c r="A60" s="110" t="s">
        <v>66</v>
      </c>
      <c r="B60" s="297" t="s">
        <v>67</v>
      </c>
      <c r="C60" s="297"/>
      <c r="D60" s="116">
        <f>D47</f>
        <v>2095.9660799999997</v>
      </c>
    </row>
    <row r="61" spans="1:4" x14ac:dyDescent="0.2">
      <c r="A61" s="110" t="s">
        <v>78</v>
      </c>
      <c r="B61" s="297" t="s">
        <v>79</v>
      </c>
      <c r="C61" s="297"/>
      <c r="D61" s="116">
        <f>D55</f>
        <v>1112.3000000000002</v>
      </c>
    </row>
    <row r="62" spans="1:4" x14ac:dyDescent="0.2">
      <c r="A62" s="284" t="s">
        <v>58</v>
      </c>
      <c r="B62" s="284"/>
      <c r="C62" s="284"/>
      <c r="D62" s="117">
        <f>SUM(D59:D61)</f>
        <v>4073.9046274879997</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D26*C66</f>
        <v>23.7504852</v>
      </c>
    </row>
    <row r="67" spans="1:4" x14ac:dyDescent="0.2">
      <c r="A67" s="111" t="s">
        <v>35</v>
      </c>
      <c r="B67" s="111" t="s">
        <v>86</v>
      </c>
      <c r="C67" s="141">
        <v>3.3399999999999999E-4</v>
      </c>
      <c r="D67" s="142">
        <f>D26*C67</f>
        <v>1.9023170399999998</v>
      </c>
    </row>
    <row r="68" spans="1:4" x14ac:dyDescent="0.2">
      <c r="A68" s="63" t="s">
        <v>38</v>
      </c>
      <c r="B68" s="63" t="s">
        <v>87</v>
      </c>
      <c r="C68" s="143">
        <v>1.6000000000000001E-3</v>
      </c>
      <c r="D68" s="144">
        <f>SUM(D26+D33)*C68</f>
        <v>10.125338745600001</v>
      </c>
    </row>
    <row r="69" spans="1:4" x14ac:dyDescent="0.2">
      <c r="A69" s="111" t="s">
        <v>57</v>
      </c>
      <c r="B69" s="111" t="s">
        <v>88</v>
      </c>
      <c r="C69" s="145">
        <v>1.84E-2</v>
      </c>
      <c r="D69" s="140">
        <f>D26*C69</f>
        <v>104.79830399999999</v>
      </c>
    </row>
    <row r="70" spans="1:4" ht="25.5" x14ac:dyDescent="0.2">
      <c r="A70" s="110" t="s">
        <v>41</v>
      </c>
      <c r="B70" s="110" t="s">
        <v>89</v>
      </c>
      <c r="C70" s="146">
        <v>5.4000000000000003E-3</v>
      </c>
      <c r="D70" s="147">
        <f>D26*C70</f>
        <v>30.756024</v>
      </c>
    </row>
    <row r="71" spans="1:4" x14ac:dyDescent="0.2">
      <c r="A71" s="63" t="s">
        <v>42</v>
      </c>
      <c r="B71" s="63" t="s">
        <v>90</v>
      </c>
      <c r="C71" s="143">
        <v>3.04E-2</v>
      </c>
      <c r="D71" s="144">
        <f>(D26+D33)*C71</f>
        <v>192.38143616639999</v>
      </c>
    </row>
    <row r="72" spans="1:4" x14ac:dyDescent="0.2">
      <c r="A72" s="293" t="s">
        <v>58</v>
      </c>
      <c r="B72" s="293"/>
      <c r="C72" s="293"/>
      <c r="D72" s="121">
        <f>SUM(D66:D71)</f>
        <v>363.713905152</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D26</f>
        <v>5695.5599999999995</v>
      </c>
    </row>
    <row r="76" spans="1:4" x14ac:dyDescent="0.2">
      <c r="A76" s="111" t="s">
        <v>35</v>
      </c>
      <c r="B76" s="111" t="s">
        <v>117</v>
      </c>
      <c r="C76" s="122"/>
      <c r="D76" s="121">
        <f>D62</f>
        <v>4073.9046274879997</v>
      </c>
    </row>
    <row r="77" spans="1:4" x14ac:dyDescent="0.2">
      <c r="A77" s="63" t="s">
        <v>38</v>
      </c>
      <c r="B77" s="63" t="s">
        <v>134</v>
      </c>
      <c r="C77" s="150">
        <f>D75/12</f>
        <v>474.62999999999994</v>
      </c>
      <c r="D77" s="150">
        <f>C77*C47+C77</f>
        <v>649.29383999999993</v>
      </c>
    </row>
    <row r="78" spans="1:4" x14ac:dyDescent="0.2">
      <c r="A78" s="111" t="s">
        <v>57</v>
      </c>
      <c r="B78" s="111" t="s">
        <v>118</v>
      </c>
      <c r="C78" s="122"/>
      <c r="D78" s="121">
        <f>D72</f>
        <v>363.713905152</v>
      </c>
    </row>
    <row r="79" spans="1:4" x14ac:dyDescent="0.2">
      <c r="A79" s="111" t="s">
        <v>41</v>
      </c>
      <c r="B79" s="111" t="s">
        <v>135</v>
      </c>
      <c r="C79" s="122"/>
      <c r="D79" s="168">
        <f>-(D51+D52)</f>
        <v>-759.47</v>
      </c>
    </row>
    <row r="80" spans="1:4" x14ac:dyDescent="0.2">
      <c r="A80" s="293" t="s">
        <v>136</v>
      </c>
      <c r="B80" s="293"/>
      <c r="C80" s="293"/>
      <c r="D80" s="121">
        <f>SUM(D75:D79)</f>
        <v>10023.002372640001</v>
      </c>
    </row>
    <row r="81" spans="1:4" ht="13.5" thickBot="1" x14ac:dyDescent="0.25">
      <c r="A81" s="148"/>
      <c r="B81" s="148"/>
      <c r="C81" s="148"/>
      <c r="D81" s="148"/>
    </row>
    <row r="82" spans="1:4" ht="13.5" thickBot="1" x14ac:dyDescent="0.25">
      <c r="A82" s="333" t="s">
        <v>91</v>
      </c>
      <c r="B82" s="334"/>
      <c r="C82" s="334"/>
      <c r="D82" s="335"/>
    </row>
    <row r="83" spans="1:4"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834.91609764091208</v>
      </c>
    </row>
    <row r="86" spans="1:4" x14ac:dyDescent="0.2">
      <c r="A86" s="111" t="s">
        <v>35</v>
      </c>
      <c r="B86" s="110" t="s">
        <v>138</v>
      </c>
      <c r="C86" s="151">
        <v>2.2200000000000002E-3</v>
      </c>
      <c r="D86" s="119">
        <f>D80*C86</f>
        <v>22.251065267260806</v>
      </c>
    </row>
    <row r="87" spans="1:4" x14ac:dyDescent="0.2">
      <c r="A87" s="111" t="s">
        <v>38</v>
      </c>
      <c r="B87" s="110" t="s">
        <v>96</v>
      </c>
      <c r="C87" s="151">
        <v>2.0000000000000001E-4</v>
      </c>
      <c r="D87" s="119">
        <f>D80*C87</f>
        <v>2.0046004745280004</v>
      </c>
    </row>
    <row r="88" spans="1:4" x14ac:dyDescent="0.2">
      <c r="A88" s="111" t="s">
        <v>57</v>
      </c>
      <c r="B88" s="110" t="s">
        <v>97</v>
      </c>
      <c r="C88" s="151">
        <v>2.7999999999999998E-4</v>
      </c>
      <c r="D88" s="119">
        <f>D80*C88</f>
        <v>2.8064406643391999</v>
      </c>
    </row>
    <row r="89" spans="1:4" x14ac:dyDescent="0.2">
      <c r="A89" s="111"/>
      <c r="B89" s="110" t="s">
        <v>139</v>
      </c>
      <c r="C89" s="151">
        <v>3.5999999999999999E-3</v>
      </c>
      <c r="D89" s="119">
        <f>D80*C89</f>
        <v>36.082808541504001</v>
      </c>
    </row>
    <row r="90" spans="1:4" x14ac:dyDescent="0.2">
      <c r="A90" s="111" t="s">
        <v>41</v>
      </c>
      <c r="B90" s="110" t="s">
        <v>98</v>
      </c>
      <c r="C90" s="151">
        <v>3.8999999999999999E-4</v>
      </c>
      <c r="D90" s="119">
        <f>D80*C90</f>
        <v>3.9089709253296006</v>
      </c>
    </row>
    <row r="91" spans="1:4" x14ac:dyDescent="0.2">
      <c r="A91" s="111" t="s">
        <v>42</v>
      </c>
      <c r="B91" s="110" t="s">
        <v>126</v>
      </c>
      <c r="C91" s="146"/>
      <c r="D91" s="119">
        <f>(($D$26+$D$62+$D$72)-$D$51)*C91</f>
        <v>0</v>
      </c>
    </row>
    <row r="92" spans="1:4" x14ac:dyDescent="0.2">
      <c r="A92" s="122" t="s">
        <v>58</v>
      </c>
      <c r="B92" s="122"/>
      <c r="C92" s="122"/>
      <c r="D92" s="121">
        <f>SUM(D85:D91)</f>
        <v>901.9699835138739</v>
      </c>
    </row>
    <row r="93" spans="1:4"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901.9699835138739</v>
      </c>
    </row>
    <row r="101" spans="1:4" x14ac:dyDescent="0.2">
      <c r="A101" s="110" t="s">
        <v>100</v>
      </c>
      <c r="B101" s="154" t="s">
        <v>101</v>
      </c>
      <c r="C101" s="155"/>
      <c r="D101" s="119">
        <f>D96</f>
        <v>0</v>
      </c>
    </row>
    <row r="102" spans="1:4" x14ac:dyDescent="0.2">
      <c r="A102" s="157" t="s">
        <v>58</v>
      </c>
      <c r="B102" s="158"/>
      <c r="C102" s="159"/>
      <c r="D102" s="121">
        <f>SUM(D100:D101)</f>
        <v>901.9699835138739</v>
      </c>
    </row>
    <row r="103" spans="1:4" x14ac:dyDescent="0.2">
      <c r="A103" s="62" t="s">
        <v>54</v>
      </c>
      <c r="B103" s="62"/>
      <c r="C103" s="62"/>
      <c r="D103" s="62"/>
    </row>
    <row r="104" spans="1:4"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v>0</v>
      </c>
    </row>
    <row r="108" spans="1:4" x14ac:dyDescent="0.2">
      <c r="A108" s="114" t="s">
        <v>58</v>
      </c>
      <c r="B108" s="114"/>
      <c r="C108" s="114"/>
      <c r="D108" s="117">
        <f>D106+D107</f>
        <v>137.56</v>
      </c>
    </row>
    <row r="109" spans="1:4" x14ac:dyDescent="0.2">
      <c r="A109" s="339"/>
      <c r="B109" s="339"/>
      <c r="C109" s="339"/>
      <c r="D109" s="339"/>
    </row>
    <row r="110" spans="1:4"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558.63542580769376</v>
      </c>
    </row>
    <row r="113" spans="1:4" x14ac:dyDescent="0.2">
      <c r="A113" s="110" t="s">
        <v>35</v>
      </c>
      <c r="B113" s="160" t="s">
        <v>110</v>
      </c>
      <c r="C113" s="161">
        <v>0.1</v>
      </c>
      <c r="D113" s="116">
        <f>C113*(D112+D128)</f>
        <v>1173.1343941961568</v>
      </c>
    </row>
    <row r="114" spans="1:4" x14ac:dyDescent="0.2">
      <c r="A114" s="110" t="s">
        <v>38</v>
      </c>
      <c r="B114" s="160" t="s">
        <v>111</v>
      </c>
      <c r="C114" s="162">
        <f>SUM(C115:C117)</f>
        <v>5.6499999999999995E-2</v>
      </c>
      <c r="D114" s="116">
        <f>(D26+D62+D72+D102+D107+D112+D113)*(C115+C116+C117)/(1-(C115+C116+C117))</f>
        <v>764.52664122195165</v>
      </c>
    </row>
    <row r="115" spans="1:4" x14ac:dyDescent="0.2">
      <c r="A115" s="110"/>
      <c r="B115" s="132" t="s">
        <v>112</v>
      </c>
      <c r="C115" s="162">
        <v>6.4999999999999997E-3</v>
      </c>
      <c r="D115" s="116">
        <f>C115*D130</f>
        <v>88.848532352967894</v>
      </c>
    </row>
    <row r="116" spans="1:4" x14ac:dyDescent="0.2">
      <c r="A116" s="110"/>
      <c r="B116" s="132" t="s">
        <v>113</v>
      </c>
      <c r="C116" s="162">
        <v>0.03</v>
      </c>
      <c r="D116" s="116">
        <f>C116*D130</f>
        <v>410.07014932139026</v>
      </c>
    </row>
    <row r="117" spans="1:4" x14ac:dyDescent="0.2">
      <c r="A117" s="110"/>
      <c r="B117" s="110" t="s">
        <v>114</v>
      </c>
      <c r="C117" s="163">
        <v>0.02</v>
      </c>
      <c r="D117" s="116">
        <f>C117*D130</f>
        <v>273.38009954759355</v>
      </c>
    </row>
    <row r="118" spans="1:4" x14ac:dyDescent="0.2">
      <c r="A118" s="114" t="s">
        <v>58</v>
      </c>
      <c r="B118" s="114"/>
      <c r="C118" s="114"/>
      <c r="D118" s="117">
        <f>SUM(D112:D114)</f>
        <v>2496.296461225802</v>
      </c>
    </row>
    <row r="119" spans="1:4" x14ac:dyDescent="0.2">
      <c r="A119" s="62"/>
      <c r="B119" s="62"/>
      <c r="C119" s="62"/>
      <c r="D119" s="62"/>
    </row>
    <row r="120" spans="1:4"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D26</f>
        <v>5695.5599999999995</v>
      </c>
    </row>
    <row r="124" spans="1:4" x14ac:dyDescent="0.2">
      <c r="A124" s="110" t="s">
        <v>35</v>
      </c>
      <c r="B124" s="285" t="s">
        <v>117</v>
      </c>
      <c r="C124" s="286"/>
      <c r="D124" s="116">
        <f>D62</f>
        <v>4073.9046274879997</v>
      </c>
    </row>
    <row r="125" spans="1:4" x14ac:dyDescent="0.2">
      <c r="A125" s="110" t="s">
        <v>38</v>
      </c>
      <c r="B125" s="285" t="s">
        <v>118</v>
      </c>
      <c r="C125" s="286"/>
      <c r="D125" s="116">
        <f>D72</f>
        <v>363.713905152</v>
      </c>
    </row>
    <row r="126" spans="1:4" x14ac:dyDescent="0.2">
      <c r="A126" s="110" t="s">
        <v>57</v>
      </c>
      <c r="B126" s="285" t="s">
        <v>119</v>
      </c>
      <c r="C126" s="286"/>
      <c r="D126" s="116">
        <f>D102</f>
        <v>901.9699835138739</v>
      </c>
    </row>
    <row r="127" spans="1:4" x14ac:dyDescent="0.2">
      <c r="A127" s="110" t="s">
        <v>41</v>
      </c>
      <c r="B127" s="285" t="s">
        <v>120</v>
      </c>
      <c r="C127" s="286"/>
      <c r="D127" s="116">
        <f>D108</f>
        <v>137.56</v>
      </c>
    </row>
    <row r="128" spans="1:4" x14ac:dyDescent="0.2">
      <c r="A128" s="281" t="s">
        <v>121</v>
      </c>
      <c r="B128" s="282"/>
      <c r="C128" s="283"/>
      <c r="D128" s="117">
        <f>SUM(D123:D127)</f>
        <v>11172.708516153874</v>
      </c>
    </row>
    <row r="129" spans="1:4" x14ac:dyDescent="0.2">
      <c r="A129" s="110" t="s">
        <v>42</v>
      </c>
      <c r="B129" s="285" t="s">
        <v>122</v>
      </c>
      <c r="C129" s="286"/>
      <c r="D129" s="116">
        <f>D118</f>
        <v>2496.296461225802</v>
      </c>
    </row>
    <row r="130" spans="1:4" x14ac:dyDescent="0.2">
      <c r="A130" s="298" t="s">
        <v>123</v>
      </c>
      <c r="B130" s="299"/>
      <c r="C130" s="300"/>
      <c r="D130" s="121">
        <f>SUM(D128+D129)</f>
        <v>13669.004977379676</v>
      </c>
    </row>
    <row r="131" spans="1:4" x14ac:dyDescent="0.2">
      <c r="A131" s="148"/>
      <c r="B131" s="148"/>
      <c r="C131" s="148"/>
      <c r="D131" s="149"/>
    </row>
    <row r="132" spans="1:4" x14ac:dyDescent="0.2">
      <c r="A132" s="148"/>
      <c r="B132" s="148"/>
      <c r="C132" s="122" t="s">
        <v>129</v>
      </c>
      <c r="D132" s="122">
        <v>4</v>
      </c>
    </row>
    <row r="133" spans="1:4" x14ac:dyDescent="0.2">
      <c r="A133" s="62"/>
      <c r="B133" s="62"/>
      <c r="C133" s="111" t="s">
        <v>124</v>
      </c>
      <c r="D133" s="164">
        <f>D132*D130</f>
        <v>54676.019909518705</v>
      </c>
    </row>
    <row r="134" spans="1:4" x14ac:dyDescent="0.2">
      <c r="A134" s="62"/>
      <c r="B134" s="62"/>
      <c r="C134" s="122" t="s">
        <v>128</v>
      </c>
      <c r="D134" s="165">
        <v>12</v>
      </c>
    </row>
    <row r="135" spans="1:4" x14ac:dyDescent="0.2">
      <c r="A135" s="62"/>
      <c r="B135" s="62"/>
      <c r="C135" s="111" t="s">
        <v>125</v>
      </c>
      <c r="D135" s="166">
        <f>D134*D133</f>
        <v>656112.23891422444</v>
      </c>
    </row>
  </sheetData>
  <mergeCells count="60">
    <mergeCell ref="A13:C13"/>
    <mergeCell ref="A1:D1"/>
    <mergeCell ref="A2:D2"/>
    <mergeCell ref="A3:D3"/>
    <mergeCell ref="A4:C4"/>
    <mergeCell ref="A6:D6"/>
    <mergeCell ref="B7:C7"/>
    <mergeCell ref="B8:C8"/>
    <mergeCell ref="B9:C9"/>
    <mergeCell ref="B10:C10"/>
    <mergeCell ref="A11:D11"/>
    <mergeCell ref="A12:D12"/>
    <mergeCell ref="B30:C30"/>
    <mergeCell ref="A14:C14"/>
    <mergeCell ref="A15:D15"/>
    <mergeCell ref="A16:D16"/>
    <mergeCell ref="B18:C18"/>
    <mergeCell ref="B19:C19"/>
    <mergeCell ref="A21:D21"/>
    <mergeCell ref="B22:C22"/>
    <mergeCell ref="A26:C26"/>
    <mergeCell ref="A28:D28"/>
    <mergeCell ref="A29:D29"/>
    <mergeCell ref="B17:C17"/>
    <mergeCell ref="B58:C58"/>
    <mergeCell ref="A33:B33"/>
    <mergeCell ref="A34:B34"/>
    <mergeCell ref="A35:C35"/>
    <mergeCell ref="A36:D36"/>
    <mergeCell ref="A37:D37"/>
    <mergeCell ref="A48:D48"/>
    <mergeCell ref="A49:D49"/>
    <mergeCell ref="B50:C50"/>
    <mergeCell ref="A55:C55"/>
    <mergeCell ref="A56:D56"/>
    <mergeCell ref="A57:D57"/>
    <mergeCell ref="A98:D98"/>
    <mergeCell ref="B59:C59"/>
    <mergeCell ref="B60:C60"/>
    <mergeCell ref="B61:C61"/>
    <mergeCell ref="A62:C62"/>
    <mergeCell ref="A64:D64"/>
    <mergeCell ref="A72:C72"/>
    <mergeCell ref="A74:D74"/>
    <mergeCell ref="A80:C80"/>
    <mergeCell ref="A82:D82"/>
    <mergeCell ref="A83:D83"/>
    <mergeCell ref="A93:D93"/>
    <mergeCell ref="A130:C130"/>
    <mergeCell ref="A104:D104"/>
    <mergeCell ref="A109:D109"/>
    <mergeCell ref="A110:D110"/>
    <mergeCell ref="A120:D120"/>
    <mergeCell ref="B123:C123"/>
    <mergeCell ref="B124:C124"/>
    <mergeCell ref="B125:C125"/>
    <mergeCell ref="B126:C126"/>
    <mergeCell ref="B127:C127"/>
    <mergeCell ref="A128:C128"/>
    <mergeCell ref="B129:C129"/>
  </mergeCells>
  <pageMargins left="0.25" right="0.25"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B166-C733-4A55-9D1B-BAC3DD50E28C}">
  <dimension ref="A1:D138"/>
  <sheetViews>
    <sheetView workbookViewId="0">
      <selection activeCell="D4" sqref="D4"/>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ht="15" customHeight="1"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57</v>
      </c>
      <c r="B10" s="277" t="s">
        <v>45</v>
      </c>
      <c r="C10" s="277"/>
      <c r="D10" s="111" t="s">
        <v>46</v>
      </c>
    </row>
    <row r="11" spans="1:4" x14ac:dyDescent="0.2">
      <c r="A11" s="277"/>
      <c r="B11" s="277"/>
      <c r="C11" s="277"/>
      <c r="D11" s="277"/>
    </row>
    <row r="12" spans="1:4" ht="13.5" thickBot="1" x14ac:dyDescent="0.25">
      <c r="A12" s="276" t="s">
        <v>47</v>
      </c>
      <c r="B12" s="276"/>
      <c r="C12" s="276"/>
      <c r="D12" s="276"/>
    </row>
    <row r="13" spans="1:4" ht="15" customHeight="1" x14ac:dyDescent="0.2">
      <c r="A13" s="277" t="s">
        <v>48</v>
      </c>
      <c r="B13" s="277"/>
      <c r="C13" s="277"/>
      <c r="D13" s="112" t="s">
        <v>225</v>
      </c>
    </row>
    <row r="14" spans="1:4" ht="15" customHeight="1" x14ac:dyDescent="0.2">
      <c r="A14" s="277" t="s">
        <v>150</v>
      </c>
      <c r="B14" s="277"/>
      <c r="C14" s="277"/>
      <c r="D14" s="111" t="s">
        <v>224</v>
      </c>
    </row>
    <row r="15" spans="1:4" ht="15" customHeight="1" x14ac:dyDescent="0.2">
      <c r="A15" s="274"/>
      <c r="B15" s="274"/>
      <c r="C15" s="274"/>
      <c r="D15" s="275"/>
    </row>
    <row r="16" spans="1:4" ht="15" customHeight="1" thickBot="1" x14ac:dyDescent="0.25">
      <c r="A16" s="276" t="s">
        <v>49</v>
      </c>
      <c r="B16" s="276"/>
      <c r="C16" s="276"/>
      <c r="D16" s="276"/>
    </row>
    <row r="17" spans="1:4" x14ac:dyDescent="0.2">
      <c r="A17" s="110">
        <v>1</v>
      </c>
      <c r="B17" s="278" t="s">
        <v>248</v>
      </c>
      <c r="C17" s="279"/>
      <c r="D17" s="113">
        <v>4231.53</v>
      </c>
    </row>
    <row r="18" spans="1:4" ht="25.5" x14ac:dyDescent="0.2">
      <c r="A18" s="112">
        <v>2</v>
      </c>
      <c r="B18" s="277" t="s">
        <v>51</v>
      </c>
      <c r="C18" s="277"/>
      <c r="D18" s="112" t="s">
        <v>226</v>
      </c>
    </row>
    <row r="19" spans="1:4" x14ac:dyDescent="0.2">
      <c r="A19" s="112">
        <v>3</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249</v>
      </c>
      <c r="C23" s="115"/>
      <c r="D23" s="116">
        <v>3173.64</v>
      </c>
    </row>
    <row r="24" spans="1:4" x14ac:dyDescent="0.2">
      <c r="A24" s="110" t="s">
        <v>35</v>
      </c>
      <c r="B24" s="110" t="s">
        <v>182</v>
      </c>
      <c r="C24" s="110"/>
      <c r="D24" s="116">
        <f>D19*0.2</f>
        <v>303.60000000000002</v>
      </c>
    </row>
    <row r="25" spans="1:4" x14ac:dyDescent="0.2">
      <c r="A25" s="284" t="s">
        <v>58</v>
      </c>
      <c r="B25" s="284"/>
      <c r="C25" s="284"/>
      <c r="D25" s="117">
        <f>SUM(D23:D24)</f>
        <v>3477.24</v>
      </c>
    </row>
    <row r="26" spans="1:4" ht="13.5" thickBot="1" x14ac:dyDescent="0.25">
      <c r="A26" s="62" t="s">
        <v>54</v>
      </c>
      <c r="B26" s="62"/>
      <c r="C26" s="62"/>
      <c r="D26" s="62"/>
    </row>
    <row r="27" spans="1:4" ht="13.5" thickBot="1" x14ac:dyDescent="0.25">
      <c r="A27" s="280" t="s">
        <v>59</v>
      </c>
      <c r="B27" s="280"/>
      <c r="C27" s="280"/>
      <c r="D27" s="280"/>
    </row>
    <row r="28" spans="1:4" x14ac:dyDescent="0.2">
      <c r="A28" s="312" t="s">
        <v>60</v>
      </c>
      <c r="B28" s="312"/>
      <c r="C28" s="312"/>
      <c r="D28" s="312"/>
    </row>
    <row r="29" spans="1:4" x14ac:dyDescent="0.2">
      <c r="A29" s="114" t="s">
        <v>61</v>
      </c>
      <c r="B29" s="284" t="s">
        <v>62</v>
      </c>
      <c r="C29" s="284"/>
      <c r="D29" s="114" t="s">
        <v>56</v>
      </c>
    </row>
    <row r="30" spans="1:4" x14ac:dyDescent="0.2">
      <c r="A30" s="111" t="s">
        <v>33</v>
      </c>
      <c r="B30" s="111" t="s">
        <v>63</v>
      </c>
      <c r="C30" s="118">
        <v>8.3299999999999999E-2</v>
      </c>
      <c r="D30" s="119">
        <f>C30*D25</f>
        <v>289.65409199999999</v>
      </c>
    </row>
    <row r="31" spans="1:4" x14ac:dyDescent="0.2">
      <c r="A31" s="111" t="s">
        <v>35</v>
      </c>
      <c r="B31" s="111" t="s">
        <v>64</v>
      </c>
      <c r="C31" s="118">
        <v>2.7799999999999998E-2</v>
      </c>
      <c r="D31" s="119">
        <f>SUM(D25*C31)</f>
        <v>96.667271999999983</v>
      </c>
    </row>
    <row r="32" spans="1:4" x14ac:dyDescent="0.2">
      <c r="A32" s="305" t="s">
        <v>131</v>
      </c>
      <c r="B32" s="306"/>
      <c r="C32" s="120">
        <f>SUM(C30+C31)</f>
        <v>0.1111</v>
      </c>
      <c r="D32" s="121">
        <f>SUM(D30:D31)</f>
        <v>386.32136399999996</v>
      </c>
    </row>
    <row r="33" spans="1:4" x14ac:dyDescent="0.2">
      <c r="A33" s="313" t="s">
        <v>130</v>
      </c>
      <c r="B33" s="293"/>
      <c r="C33" s="123">
        <f>SUM(C38:C45)</f>
        <v>0.36800000000000005</v>
      </c>
      <c r="D33" s="119">
        <f>SUM(D32*C33)</f>
        <v>142.16626195200001</v>
      </c>
    </row>
    <row r="34" spans="1:4" x14ac:dyDescent="0.2">
      <c r="A34" s="307" t="s">
        <v>58</v>
      </c>
      <c r="B34" s="308"/>
      <c r="C34" s="309"/>
      <c r="D34" s="124">
        <f>SUM(D32+D33)</f>
        <v>528.48762595199992</v>
      </c>
    </row>
    <row r="35" spans="1:4" x14ac:dyDescent="0.2">
      <c r="A35" s="304"/>
      <c r="B35" s="304"/>
      <c r="C35" s="304"/>
      <c r="D35" s="304"/>
    </row>
    <row r="36" spans="1:4" ht="15" customHeight="1" x14ac:dyDescent="0.2">
      <c r="A36" s="296" t="s">
        <v>65</v>
      </c>
      <c r="B36" s="296"/>
      <c r="C36" s="296"/>
      <c r="D36" s="296"/>
    </row>
    <row r="37" spans="1:4" x14ac:dyDescent="0.2">
      <c r="A37" s="126" t="s">
        <v>66</v>
      </c>
      <c r="B37" s="126" t="s">
        <v>67</v>
      </c>
      <c r="C37" s="126" t="s">
        <v>68</v>
      </c>
      <c r="D37" s="126" t="s">
        <v>56</v>
      </c>
    </row>
    <row r="38" spans="1:4" ht="15" customHeight="1" x14ac:dyDescent="0.2">
      <c r="A38" s="127" t="s">
        <v>33</v>
      </c>
      <c r="B38" s="127" t="s">
        <v>69</v>
      </c>
      <c r="C38" s="123">
        <v>0.2</v>
      </c>
      <c r="D38" s="116">
        <f>D25*C38</f>
        <v>695.44799999999998</v>
      </c>
    </row>
    <row r="39" spans="1:4" x14ac:dyDescent="0.2">
      <c r="A39" s="127" t="s">
        <v>35</v>
      </c>
      <c r="B39" s="127" t="s">
        <v>70</v>
      </c>
      <c r="C39" s="123">
        <v>2.5000000000000001E-2</v>
      </c>
      <c r="D39" s="116">
        <f>D25*C39</f>
        <v>86.930999999999997</v>
      </c>
    </row>
    <row r="40" spans="1:4" x14ac:dyDescent="0.2">
      <c r="A40" s="127" t="s">
        <v>38</v>
      </c>
      <c r="B40" s="128" t="s">
        <v>71</v>
      </c>
      <c r="C40" s="129">
        <v>0.03</v>
      </c>
      <c r="D40" s="116">
        <f>D25*C40</f>
        <v>104.31719999999999</v>
      </c>
    </row>
    <row r="41" spans="1:4" x14ac:dyDescent="0.2">
      <c r="A41" s="127" t="s">
        <v>57</v>
      </c>
      <c r="B41" s="127" t="s">
        <v>72</v>
      </c>
      <c r="C41" s="123">
        <v>1.4999999999999999E-2</v>
      </c>
      <c r="D41" s="116">
        <f>D25*C41</f>
        <v>52.158599999999993</v>
      </c>
    </row>
    <row r="42" spans="1:4" x14ac:dyDescent="0.2">
      <c r="A42" s="127" t="s">
        <v>41</v>
      </c>
      <c r="B42" s="127" t="s">
        <v>73</v>
      </c>
      <c r="C42" s="123">
        <v>0.01</v>
      </c>
      <c r="D42" s="116">
        <f>D25*C42</f>
        <v>34.772399999999998</v>
      </c>
    </row>
    <row r="43" spans="1:4" x14ac:dyDescent="0.2">
      <c r="A43" s="127" t="s">
        <v>42</v>
      </c>
      <c r="B43" s="127" t="s">
        <v>74</v>
      </c>
      <c r="C43" s="123">
        <v>6.0000000000000001E-3</v>
      </c>
      <c r="D43" s="116">
        <f>D25*C43</f>
        <v>20.863440000000001</v>
      </c>
    </row>
    <row r="44" spans="1:4" x14ac:dyDescent="0.2">
      <c r="A44" s="127" t="s">
        <v>43</v>
      </c>
      <c r="B44" s="127" t="s">
        <v>75</v>
      </c>
      <c r="C44" s="123">
        <v>2E-3</v>
      </c>
      <c r="D44" s="116">
        <f>D25*C44</f>
        <v>6.9544799999999993</v>
      </c>
    </row>
    <row r="45" spans="1:4" x14ac:dyDescent="0.2">
      <c r="A45" s="127" t="s">
        <v>44</v>
      </c>
      <c r="B45" s="127" t="s">
        <v>76</v>
      </c>
      <c r="C45" s="123">
        <v>0.08</v>
      </c>
      <c r="D45" s="116">
        <f>D25*C45</f>
        <v>278.17919999999998</v>
      </c>
    </row>
    <row r="46" spans="1:4" x14ac:dyDescent="0.2">
      <c r="A46" s="127"/>
      <c r="B46" s="126" t="s">
        <v>58</v>
      </c>
      <c r="C46" s="123">
        <f>SUM(C38:C45)</f>
        <v>0.36800000000000005</v>
      </c>
      <c r="D46" s="117">
        <f>SUM(D38:D45)</f>
        <v>1279.6243199999999</v>
      </c>
    </row>
    <row r="47" spans="1:4" x14ac:dyDescent="0.2">
      <c r="A47" s="304"/>
      <c r="B47" s="304"/>
      <c r="C47" s="304"/>
      <c r="D47" s="304"/>
    </row>
    <row r="48" spans="1:4" ht="15" customHeight="1" x14ac:dyDescent="0.2">
      <c r="A48" s="296" t="s">
        <v>77</v>
      </c>
      <c r="B48" s="296"/>
      <c r="C48" s="296"/>
      <c r="D48" s="296"/>
    </row>
    <row r="49" spans="1:4" x14ac:dyDescent="0.2">
      <c r="A49" s="114" t="s">
        <v>78</v>
      </c>
      <c r="B49" s="284" t="s">
        <v>79</v>
      </c>
      <c r="C49" s="284"/>
      <c r="D49" s="114" t="s">
        <v>56</v>
      </c>
    </row>
    <row r="50" spans="1:4" ht="15" customHeight="1" x14ac:dyDescent="0.2">
      <c r="A50" s="110" t="s">
        <v>33</v>
      </c>
      <c r="B50" s="110" t="s">
        <v>214</v>
      </c>
      <c r="C50" s="130">
        <v>5.15</v>
      </c>
      <c r="D50" s="119">
        <f>(2*5.15*22) - (D20*6%)</f>
        <v>226.60000000000002</v>
      </c>
    </row>
    <row r="51" spans="1:4" x14ac:dyDescent="0.2">
      <c r="A51" s="110" t="s">
        <v>35</v>
      </c>
      <c r="B51" s="132" t="s">
        <v>250</v>
      </c>
      <c r="C51" s="133">
        <v>27.29</v>
      </c>
      <c r="D51" s="134">
        <f>(C51*22)-142.69</f>
        <v>457.69</v>
      </c>
    </row>
    <row r="52" spans="1:4" x14ac:dyDescent="0.2">
      <c r="A52" s="110" t="s">
        <v>38</v>
      </c>
      <c r="B52" s="110" t="s">
        <v>251</v>
      </c>
      <c r="C52" s="167"/>
      <c r="D52" s="136">
        <v>49.23</v>
      </c>
    </row>
    <row r="53" spans="1:4" x14ac:dyDescent="0.2">
      <c r="A53" s="284" t="s">
        <v>58</v>
      </c>
      <c r="B53" s="284"/>
      <c r="C53" s="284"/>
      <c r="D53" s="121">
        <f>SUM(D50:D52)</f>
        <v>733.52</v>
      </c>
    </row>
    <row r="54" spans="1:4" x14ac:dyDescent="0.2">
      <c r="A54" s="327"/>
      <c r="B54" s="327"/>
      <c r="C54" s="327"/>
      <c r="D54" s="327"/>
    </row>
    <row r="55" spans="1:4" ht="15" customHeight="1" x14ac:dyDescent="0.2">
      <c r="A55" s="287" t="s">
        <v>80</v>
      </c>
      <c r="B55" s="288"/>
      <c r="C55" s="288"/>
      <c r="D55" s="289"/>
    </row>
    <row r="56" spans="1:4" x14ac:dyDescent="0.2">
      <c r="A56" s="114">
        <v>2</v>
      </c>
      <c r="B56" s="284" t="s">
        <v>81</v>
      </c>
      <c r="C56" s="284"/>
      <c r="D56" s="114" t="s">
        <v>56</v>
      </c>
    </row>
    <row r="57" spans="1:4" x14ac:dyDescent="0.2">
      <c r="A57" s="110" t="s">
        <v>61</v>
      </c>
      <c r="B57" s="297" t="s">
        <v>82</v>
      </c>
      <c r="C57" s="297"/>
      <c r="D57" s="116">
        <f>D34</f>
        <v>528.48762595199992</v>
      </c>
    </row>
    <row r="58" spans="1:4" x14ac:dyDescent="0.2">
      <c r="A58" s="110" t="s">
        <v>66</v>
      </c>
      <c r="B58" s="297" t="s">
        <v>67</v>
      </c>
      <c r="C58" s="297"/>
      <c r="D58" s="116">
        <f>D46</f>
        <v>1279.6243199999999</v>
      </c>
    </row>
    <row r="59" spans="1:4" x14ac:dyDescent="0.2">
      <c r="A59" s="110" t="s">
        <v>78</v>
      </c>
      <c r="B59" s="297" t="s">
        <v>79</v>
      </c>
      <c r="C59" s="297"/>
      <c r="D59" s="116">
        <f>D53</f>
        <v>733.52</v>
      </c>
    </row>
    <row r="60" spans="1:4" x14ac:dyDescent="0.2">
      <c r="A60" s="284" t="s">
        <v>58</v>
      </c>
      <c r="B60" s="284"/>
      <c r="C60" s="284"/>
      <c r="D60" s="117">
        <f>SUM(D57:D59)</f>
        <v>2541.631945952</v>
      </c>
    </row>
    <row r="61" spans="1:4" ht="15" customHeight="1" x14ac:dyDescent="0.2">
      <c r="A61" s="137"/>
      <c r="B61" s="137"/>
      <c r="C61" s="137"/>
      <c r="D61" s="138"/>
    </row>
    <row r="62" spans="1:4" x14ac:dyDescent="0.2">
      <c r="A62" s="324" t="s">
        <v>137</v>
      </c>
      <c r="B62" s="325"/>
      <c r="C62" s="325"/>
      <c r="D62" s="326"/>
    </row>
    <row r="63" spans="1:4" x14ac:dyDescent="0.2">
      <c r="A63" s="122">
        <v>3</v>
      </c>
      <c r="B63" s="114" t="s">
        <v>83</v>
      </c>
      <c r="C63" s="114" t="s">
        <v>84</v>
      </c>
      <c r="D63" s="114" t="s">
        <v>56</v>
      </c>
    </row>
    <row r="64" spans="1:4" x14ac:dyDescent="0.2">
      <c r="A64" s="111" t="s">
        <v>33</v>
      </c>
      <c r="B64" s="111" t="s">
        <v>85</v>
      </c>
      <c r="C64" s="139">
        <v>4.1700000000000001E-3</v>
      </c>
      <c r="D64" s="140">
        <f>D25*C64</f>
        <v>14.500090799999999</v>
      </c>
    </row>
    <row r="65" spans="1:4" x14ac:dyDescent="0.2">
      <c r="A65" s="111" t="s">
        <v>35</v>
      </c>
      <c r="B65" s="111" t="s">
        <v>86</v>
      </c>
      <c r="C65" s="141">
        <v>3.3399999999999999E-4</v>
      </c>
      <c r="D65" s="142">
        <f>D25*C65</f>
        <v>1.1613981599999998</v>
      </c>
    </row>
    <row r="66" spans="1:4" x14ac:dyDescent="0.2">
      <c r="A66" s="63" t="s">
        <v>38</v>
      </c>
      <c r="B66" s="63" t="s">
        <v>87</v>
      </c>
      <c r="C66" s="143">
        <v>1.6000000000000001E-3</v>
      </c>
      <c r="D66" s="144">
        <f>SUM(D25+D32)*C66</f>
        <v>6.1816981823999999</v>
      </c>
    </row>
    <row r="67" spans="1:4" x14ac:dyDescent="0.2">
      <c r="A67" s="111" t="s">
        <v>57</v>
      </c>
      <c r="B67" s="111" t="s">
        <v>88</v>
      </c>
      <c r="C67" s="145">
        <v>1.84E-2</v>
      </c>
      <c r="D67" s="140">
        <f>D25*C67</f>
        <v>63.981215999999996</v>
      </c>
    </row>
    <row r="68" spans="1:4" ht="25.5" x14ac:dyDescent="0.2">
      <c r="A68" s="110" t="s">
        <v>41</v>
      </c>
      <c r="B68" s="110" t="s">
        <v>89</v>
      </c>
      <c r="C68" s="146">
        <v>5.4000000000000003E-3</v>
      </c>
      <c r="D68" s="147">
        <f>D25*C68</f>
        <v>18.777096</v>
      </c>
    </row>
    <row r="69" spans="1:4" x14ac:dyDescent="0.2">
      <c r="A69" s="63" t="s">
        <v>42</v>
      </c>
      <c r="B69" s="63" t="s">
        <v>90</v>
      </c>
      <c r="C69" s="143">
        <v>3.04E-2</v>
      </c>
      <c r="D69" s="144">
        <f>(D25+D32)*C69</f>
        <v>117.45226546559999</v>
      </c>
    </row>
    <row r="70" spans="1:4" x14ac:dyDescent="0.2">
      <c r="A70" s="293" t="s">
        <v>58</v>
      </c>
      <c r="B70" s="293"/>
      <c r="C70" s="293"/>
      <c r="D70" s="121">
        <f>SUM(D64:D69)</f>
        <v>222.05376460799999</v>
      </c>
    </row>
    <row r="71" spans="1:4" x14ac:dyDescent="0.2">
      <c r="A71" s="148"/>
      <c r="B71" s="148"/>
      <c r="C71" s="148"/>
      <c r="D71" s="149"/>
    </row>
    <row r="72" spans="1:4" x14ac:dyDescent="0.2">
      <c r="A72" s="330" t="s">
        <v>132</v>
      </c>
      <c r="B72" s="331"/>
      <c r="C72" s="331"/>
      <c r="D72" s="332"/>
    </row>
    <row r="73" spans="1:4" x14ac:dyDescent="0.2">
      <c r="A73" s="111" t="s">
        <v>33</v>
      </c>
      <c r="B73" s="111" t="s">
        <v>133</v>
      </c>
      <c r="C73" s="122"/>
      <c r="D73" s="121">
        <f>D25</f>
        <v>3477.24</v>
      </c>
    </row>
    <row r="74" spans="1:4" x14ac:dyDescent="0.2">
      <c r="A74" s="111" t="s">
        <v>35</v>
      </c>
      <c r="B74" s="111" t="s">
        <v>117</v>
      </c>
      <c r="C74" s="122"/>
      <c r="D74" s="121">
        <f>D60</f>
        <v>2541.631945952</v>
      </c>
    </row>
    <row r="75" spans="1:4" x14ac:dyDescent="0.2">
      <c r="A75" s="63" t="s">
        <v>38</v>
      </c>
      <c r="B75" s="63" t="s">
        <v>134</v>
      </c>
      <c r="C75" s="150">
        <f>D73/12</f>
        <v>289.77</v>
      </c>
      <c r="D75" s="150">
        <f>C75*C46+C75</f>
        <v>396.40535999999997</v>
      </c>
    </row>
    <row r="76" spans="1:4" x14ac:dyDescent="0.2">
      <c r="A76" s="111" t="s">
        <v>57</v>
      </c>
      <c r="B76" s="111" t="s">
        <v>118</v>
      </c>
      <c r="C76" s="122"/>
      <c r="D76" s="121">
        <f>D70</f>
        <v>222.05376460799999</v>
      </c>
    </row>
    <row r="77" spans="1:4" x14ac:dyDescent="0.2">
      <c r="A77" s="111" t="s">
        <v>41</v>
      </c>
      <c r="B77" s="111" t="s">
        <v>135</v>
      </c>
      <c r="C77" s="122"/>
      <c r="D77" s="168">
        <f>-(D50+D51)</f>
        <v>-684.29</v>
      </c>
    </row>
    <row r="78" spans="1:4" x14ac:dyDescent="0.2">
      <c r="A78" s="293" t="s">
        <v>136</v>
      </c>
      <c r="B78" s="293"/>
      <c r="C78" s="293"/>
      <c r="D78" s="121">
        <f>SUM(D73:D77)</f>
        <v>5953.0410705599998</v>
      </c>
    </row>
    <row r="79" spans="1:4" ht="13.5" thickBot="1" x14ac:dyDescent="0.25">
      <c r="A79" s="148"/>
      <c r="B79" s="148"/>
      <c r="C79" s="148"/>
      <c r="D79" s="148"/>
    </row>
    <row r="80" spans="1:4" ht="13.5" thickBot="1" x14ac:dyDescent="0.25">
      <c r="A80" s="333" t="s">
        <v>91</v>
      </c>
      <c r="B80" s="334"/>
      <c r="C80" s="334"/>
      <c r="D80" s="335"/>
    </row>
    <row r="81" spans="1:4" ht="15" customHeight="1" x14ac:dyDescent="0.2">
      <c r="A81" s="336" t="s">
        <v>92</v>
      </c>
      <c r="B81" s="337"/>
      <c r="C81" s="337"/>
      <c r="D81" s="338"/>
    </row>
    <row r="82" spans="1:4" x14ac:dyDescent="0.2">
      <c r="A82" s="114" t="s">
        <v>93</v>
      </c>
      <c r="B82" s="114" t="s">
        <v>94</v>
      </c>
      <c r="C82" s="114" t="s">
        <v>84</v>
      </c>
      <c r="D82" s="114" t="s">
        <v>56</v>
      </c>
    </row>
    <row r="83" spans="1:4" x14ac:dyDescent="0.2">
      <c r="A83" s="111" t="s">
        <v>33</v>
      </c>
      <c r="B83" s="110" t="s">
        <v>95</v>
      </c>
      <c r="C83" s="123">
        <v>8.3299999999999999E-2</v>
      </c>
      <c r="D83" s="119">
        <f>D78*C83</f>
        <v>495.88832117764798</v>
      </c>
    </row>
    <row r="84" spans="1:4" x14ac:dyDescent="0.2">
      <c r="A84" s="111" t="s">
        <v>35</v>
      </c>
      <c r="B84" s="110" t="s">
        <v>138</v>
      </c>
      <c r="C84" s="151">
        <v>2.2200000000000002E-3</v>
      </c>
      <c r="D84" s="119">
        <f>D78*C84</f>
        <v>13.215751176643201</v>
      </c>
    </row>
    <row r="85" spans="1:4" x14ac:dyDescent="0.2">
      <c r="A85" s="111" t="s">
        <v>38</v>
      </c>
      <c r="B85" s="110" t="s">
        <v>96</v>
      </c>
      <c r="C85" s="151">
        <v>2.0000000000000001E-4</v>
      </c>
      <c r="D85" s="119">
        <f>D78*C85</f>
        <v>1.190608214112</v>
      </c>
    </row>
    <row r="86" spans="1:4" x14ac:dyDescent="0.2">
      <c r="A86" s="111" t="s">
        <v>57</v>
      </c>
      <c r="B86" s="110" t="s">
        <v>97</v>
      </c>
      <c r="C86" s="151">
        <v>2.7999999999999998E-4</v>
      </c>
      <c r="D86" s="119">
        <f>D78*C86</f>
        <v>1.6668514997567998</v>
      </c>
    </row>
    <row r="87" spans="1:4" ht="15" customHeight="1" x14ac:dyDescent="0.2">
      <c r="A87" s="111"/>
      <c r="B87" s="110" t="s">
        <v>139</v>
      </c>
      <c r="C87" s="151">
        <v>3.5999999999999999E-3</v>
      </c>
      <c r="D87" s="119">
        <f>D78*C87</f>
        <v>21.430947854015997</v>
      </c>
    </row>
    <row r="88" spans="1:4" x14ac:dyDescent="0.2">
      <c r="A88" s="111" t="s">
        <v>41</v>
      </c>
      <c r="B88" s="110" t="s">
        <v>98</v>
      </c>
      <c r="C88" s="151">
        <v>3.8999999999999999E-4</v>
      </c>
      <c r="D88" s="119">
        <f>D78*C88</f>
        <v>2.3216860175183998</v>
      </c>
    </row>
    <row r="89" spans="1:4" x14ac:dyDescent="0.2">
      <c r="A89" s="111" t="s">
        <v>42</v>
      </c>
      <c r="B89" s="110" t="s">
        <v>126</v>
      </c>
      <c r="C89" s="146"/>
      <c r="D89" s="119">
        <f>(($D$25+$D$60+$D$70)-$D$50)*C89</f>
        <v>0</v>
      </c>
    </row>
    <row r="90" spans="1:4" x14ac:dyDescent="0.2">
      <c r="A90" s="122" t="s">
        <v>58</v>
      </c>
      <c r="B90" s="122"/>
      <c r="C90" s="122"/>
      <c r="D90" s="121">
        <f>SUM(D83:D89)</f>
        <v>535.71416593969434</v>
      </c>
    </row>
    <row r="91" spans="1:4" ht="15" customHeight="1" x14ac:dyDescent="0.2">
      <c r="A91" s="290" t="s">
        <v>99</v>
      </c>
      <c r="B91" s="291"/>
      <c r="C91" s="291"/>
      <c r="D91" s="292"/>
    </row>
    <row r="92" spans="1:4" x14ac:dyDescent="0.2">
      <c r="A92" s="122" t="s">
        <v>100</v>
      </c>
      <c r="B92" s="111" t="s">
        <v>101</v>
      </c>
      <c r="C92" s="111"/>
      <c r="D92" s="114" t="s">
        <v>56</v>
      </c>
    </row>
    <row r="93" spans="1:4" x14ac:dyDescent="0.2">
      <c r="A93" s="111" t="s">
        <v>33</v>
      </c>
      <c r="B93" s="111" t="s">
        <v>102</v>
      </c>
      <c r="C93" s="111"/>
      <c r="D93" s="119">
        <v>0</v>
      </c>
    </row>
    <row r="94" spans="1:4" x14ac:dyDescent="0.2">
      <c r="A94" s="122" t="s">
        <v>58</v>
      </c>
      <c r="B94" s="122"/>
      <c r="C94" s="122"/>
      <c r="D94" s="121"/>
    </row>
    <row r="95" spans="1:4" x14ac:dyDescent="0.2">
      <c r="A95" s="125"/>
      <c r="B95" s="125"/>
      <c r="C95" s="125"/>
      <c r="D95" s="125"/>
    </row>
    <row r="96" spans="1:4" ht="15" customHeight="1" x14ac:dyDescent="0.2">
      <c r="A96" s="287" t="s">
        <v>103</v>
      </c>
      <c r="B96" s="288"/>
      <c r="C96" s="288"/>
      <c r="D96" s="289"/>
    </row>
    <row r="97" spans="1:4" ht="15" customHeight="1" x14ac:dyDescent="0.2">
      <c r="A97" s="114">
        <v>4</v>
      </c>
      <c r="B97" s="152" t="s">
        <v>104</v>
      </c>
      <c r="C97" s="153"/>
      <c r="D97" s="114" t="s">
        <v>56</v>
      </c>
    </row>
    <row r="98" spans="1:4" x14ac:dyDescent="0.2">
      <c r="A98" s="110" t="s">
        <v>93</v>
      </c>
      <c r="B98" s="154" t="s">
        <v>94</v>
      </c>
      <c r="C98" s="155"/>
      <c r="D98" s="156">
        <f>D90</f>
        <v>535.71416593969434</v>
      </c>
    </row>
    <row r="99" spans="1:4" x14ac:dyDescent="0.2">
      <c r="A99" s="110" t="s">
        <v>100</v>
      </c>
      <c r="B99" s="154" t="s">
        <v>101</v>
      </c>
      <c r="C99" s="155"/>
      <c r="D99" s="119">
        <f>D94</f>
        <v>0</v>
      </c>
    </row>
    <row r="100" spans="1:4" x14ac:dyDescent="0.2">
      <c r="A100" s="157" t="s">
        <v>58</v>
      </c>
      <c r="B100" s="158"/>
      <c r="C100" s="159"/>
      <c r="D100" s="121">
        <f>SUM(D98:D99)</f>
        <v>535.71416593969434</v>
      </c>
    </row>
    <row r="101" spans="1:4" x14ac:dyDescent="0.2">
      <c r="A101" s="62" t="s">
        <v>54</v>
      </c>
      <c r="B101" s="62"/>
      <c r="C101" s="62"/>
      <c r="D101" s="62"/>
    </row>
    <row r="102" spans="1:4" ht="15" customHeight="1" x14ac:dyDescent="0.2">
      <c r="A102" s="287" t="s">
        <v>105</v>
      </c>
      <c r="B102" s="288"/>
      <c r="C102" s="288"/>
      <c r="D102" s="289"/>
    </row>
    <row r="103" spans="1:4" x14ac:dyDescent="0.2">
      <c r="A103" s="114">
        <v>5</v>
      </c>
      <c r="B103" s="114" t="s">
        <v>106</v>
      </c>
      <c r="C103" s="114"/>
      <c r="D103" s="114" t="s">
        <v>56</v>
      </c>
    </row>
    <row r="104" spans="1:4" x14ac:dyDescent="0.2">
      <c r="A104" s="132" t="s">
        <v>33</v>
      </c>
      <c r="B104" s="160" t="s">
        <v>141</v>
      </c>
      <c r="C104" s="160"/>
      <c r="D104" s="136">
        <v>86.41</v>
      </c>
    </row>
    <row r="105" spans="1:4" x14ac:dyDescent="0.2">
      <c r="A105" s="110" t="s">
        <v>35</v>
      </c>
      <c r="B105" s="110" t="s">
        <v>164</v>
      </c>
      <c r="C105" s="114"/>
      <c r="D105" s="116">
        <v>0</v>
      </c>
    </row>
    <row r="106" spans="1:4" x14ac:dyDescent="0.2">
      <c r="A106" s="114" t="s">
        <v>58</v>
      </c>
      <c r="B106" s="114"/>
      <c r="C106" s="114"/>
      <c r="D106" s="117">
        <f>D104+D105</f>
        <v>86.41</v>
      </c>
    </row>
    <row r="107" spans="1:4" x14ac:dyDescent="0.2">
      <c r="A107" s="339"/>
      <c r="B107" s="339"/>
      <c r="C107" s="339"/>
      <c r="D107" s="339"/>
    </row>
    <row r="108" spans="1:4" ht="15" customHeight="1" x14ac:dyDescent="0.2">
      <c r="A108" s="287" t="s">
        <v>107</v>
      </c>
      <c r="B108" s="288"/>
      <c r="C108" s="288"/>
      <c r="D108" s="289"/>
    </row>
    <row r="109" spans="1:4" x14ac:dyDescent="0.2">
      <c r="A109" s="114">
        <v>6</v>
      </c>
      <c r="B109" s="114" t="s">
        <v>108</v>
      </c>
      <c r="C109" s="114" t="s">
        <v>68</v>
      </c>
      <c r="D109" s="114" t="s">
        <v>56</v>
      </c>
    </row>
    <row r="110" spans="1:4" x14ac:dyDescent="0.2">
      <c r="A110" s="110" t="s">
        <v>33</v>
      </c>
      <c r="B110" s="160" t="s">
        <v>109</v>
      </c>
      <c r="C110" s="161">
        <v>0.05</v>
      </c>
      <c r="D110" s="116">
        <f>C110*D126</f>
        <v>343.15249382498473</v>
      </c>
    </row>
    <row r="111" spans="1:4" x14ac:dyDescent="0.2">
      <c r="A111" s="110" t="s">
        <v>35</v>
      </c>
      <c r="B111" s="160" t="s">
        <v>110</v>
      </c>
      <c r="C111" s="161">
        <v>0.1</v>
      </c>
      <c r="D111" s="116">
        <f>C111*(D110+D126)</f>
        <v>720.62023703246791</v>
      </c>
    </row>
    <row r="112" spans="1:4" x14ac:dyDescent="0.2">
      <c r="A112" s="110" t="s">
        <v>38</v>
      </c>
      <c r="B112" s="160" t="s">
        <v>111</v>
      </c>
      <c r="C112" s="162">
        <f>SUM(C113:C115)</f>
        <v>5.6499999999999995E-2</v>
      </c>
      <c r="D112" s="116">
        <f>(D25+D60+D70+D100+D105+D110+D111)*(C113+C114+C115)/(1-(C113+C114+C115))</f>
        <v>469.51066488148251</v>
      </c>
    </row>
    <row r="113" spans="1:4" x14ac:dyDescent="0.2">
      <c r="A113" s="110"/>
      <c r="B113" s="132" t="s">
        <v>112</v>
      </c>
      <c r="C113" s="162">
        <v>6.4999999999999997E-3</v>
      </c>
      <c r="D113" s="116">
        <f>C113*D128</f>
        <v>54.576166269551088</v>
      </c>
    </row>
    <row r="114" spans="1:4" ht="15" customHeight="1" x14ac:dyDescent="0.2">
      <c r="A114" s="110"/>
      <c r="B114" s="132" t="s">
        <v>113</v>
      </c>
      <c r="C114" s="162">
        <v>0.03</v>
      </c>
      <c r="D114" s="116">
        <f>C114*D128</f>
        <v>251.88999816715886</v>
      </c>
    </row>
    <row r="115" spans="1:4" x14ac:dyDescent="0.2">
      <c r="A115" s="110"/>
      <c r="B115" s="110" t="s">
        <v>114</v>
      </c>
      <c r="C115" s="163">
        <v>0.02</v>
      </c>
      <c r="D115" s="116">
        <f>C115*D128</f>
        <v>167.9266654447726</v>
      </c>
    </row>
    <row r="116" spans="1:4" x14ac:dyDescent="0.2">
      <c r="A116" s="114" t="s">
        <v>58</v>
      </c>
      <c r="B116" s="114"/>
      <c r="C116" s="114"/>
      <c r="D116" s="117">
        <f>SUM(D110:D112)</f>
        <v>1533.2833957389353</v>
      </c>
    </row>
    <row r="117" spans="1:4" x14ac:dyDescent="0.2">
      <c r="A117" s="62"/>
      <c r="B117" s="62"/>
      <c r="C117" s="62"/>
      <c r="D117" s="62"/>
    </row>
    <row r="118" spans="1:4" ht="15" customHeight="1" x14ac:dyDescent="0.2">
      <c r="A118" s="321" t="s">
        <v>115</v>
      </c>
      <c r="B118" s="322"/>
      <c r="C118" s="322"/>
      <c r="D118" s="323"/>
    </row>
    <row r="119" spans="1:4" x14ac:dyDescent="0.2">
      <c r="A119" s="62" t="s">
        <v>54</v>
      </c>
      <c r="B119" s="62"/>
      <c r="C119" s="62"/>
      <c r="D119" s="62"/>
    </row>
    <row r="120" spans="1:4" x14ac:dyDescent="0.2">
      <c r="A120" s="110"/>
      <c r="B120" s="114" t="s">
        <v>116</v>
      </c>
      <c r="C120" s="114"/>
      <c r="D120" s="114" t="s">
        <v>56</v>
      </c>
    </row>
    <row r="121" spans="1:4" x14ac:dyDescent="0.2">
      <c r="A121" s="110" t="s">
        <v>33</v>
      </c>
      <c r="B121" s="285" t="s">
        <v>53</v>
      </c>
      <c r="C121" s="286"/>
      <c r="D121" s="116">
        <f>D25</f>
        <v>3477.24</v>
      </c>
    </row>
    <row r="122" spans="1:4" x14ac:dyDescent="0.2">
      <c r="A122" s="110" t="s">
        <v>35</v>
      </c>
      <c r="B122" s="285" t="s">
        <v>117</v>
      </c>
      <c r="C122" s="286"/>
      <c r="D122" s="116">
        <f>D60</f>
        <v>2541.631945952</v>
      </c>
    </row>
    <row r="123" spans="1:4" x14ac:dyDescent="0.2">
      <c r="A123" s="110" t="s">
        <v>38</v>
      </c>
      <c r="B123" s="285" t="s">
        <v>118</v>
      </c>
      <c r="C123" s="286"/>
      <c r="D123" s="116">
        <f>D70</f>
        <v>222.05376460799999</v>
      </c>
    </row>
    <row r="124" spans="1:4" ht="15" customHeight="1" x14ac:dyDescent="0.2">
      <c r="A124" s="110" t="s">
        <v>57</v>
      </c>
      <c r="B124" s="285" t="s">
        <v>119</v>
      </c>
      <c r="C124" s="286"/>
      <c r="D124" s="116">
        <f>D100</f>
        <v>535.71416593969434</v>
      </c>
    </row>
    <row r="125" spans="1:4" x14ac:dyDescent="0.2">
      <c r="A125" s="110" t="s">
        <v>41</v>
      </c>
      <c r="B125" s="285" t="s">
        <v>120</v>
      </c>
      <c r="C125" s="286"/>
      <c r="D125" s="116">
        <f>D106</f>
        <v>86.41</v>
      </c>
    </row>
    <row r="126" spans="1:4" ht="15" customHeight="1" x14ac:dyDescent="0.2">
      <c r="A126" s="281" t="s">
        <v>121</v>
      </c>
      <c r="B126" s="282"/>
      <c r="C126" s="283"/>
      <c r="D126" s="117">
        <f>SUM(D121:D125)</f>
        <v>6863.0498764996937</v>
      </c>
    </row>
    <row r="127" spans="1:4" x14ac:dyDescent="0.2">
      <c r="A127" s="110" t="s">
        <v>42</v>
      </c>
      <c r="B127" s="285" t="s">
        <v>122</v>
      </c>
      <c r="C127" s="286"/>
      <c r="D127" s="116">
        <f>D116</f>
        <v>1533.2833957389353</v>
      </c>
    </row>
    <row r="128" spans="1:4" x14ac:dyDescent="0.2">
      <c r="A128" s="298" t="s">
        <v>123</v>
      </c>
      <c r="B128" s="299"/>
      <c r="C128" s="300"/>
      <c r="D128" s="121">
        <f>SUM(D126+D127)</f>
        <v>8396.3332722386294</v>
      </c>
    </row>
    <row r="129" spans="1:4" x14ac:dyDescent="0.2">
      <c r="A129" s="148"/>
      <c r="B129" s="148"/>
      <c r="C129" s="148"/>
      <c r="D129" s="149"/>
    </row>
    <row r="130" spans="1:4" x14ac:dyDescent="0.2">
      <c r="A130" s="148"/>
      <c r="B130" s="148"/>
      <c r="C130" s="122" t="s">
        <v>129</v>
      </c>
      <c r="D130" s="122">
        <v>1</v>
      </c>
    </row>
    <row r="131" spans="1:4" x14ac:dyDescent="0.2">
      <c r="A131" s="62"/>
      <c r="B131" s="62"/>
      <c r="C131" s="111" t="s">
        <v>124</v>
      </c>
      <c r="D131" s="164">
        <f>D130*D128</f>
        <v>8396.3332722386294</v>
      </c>
    </row>
    <row r="132" spans="1:4" ht="15" customHeight="1" x14ac:dyDescent="0.2">
      <c r="A132" s="62"/>
      <c r="B132" s="62"/>
      <c r="C132" s="122" t="s">
        <v>128</v>
      </c>
      <c r="D132" s="165">
        <v>12</v>
      </c>
    </row>
    <row r="133" spans="1:4" x14ac:dyDescent="0.2">
      <c r="A133" s="62"/>
      <c r="B133" s="62"/>
      <c r="C133" s="111" t="s">
        <v>125</v>
      </c>
      <c r="D133" s="166">
        <f>D132*D131</f>
        <v>100755.99926686355</v>
      </c>
    </row>
    <row r="134" spans="1:4" x14ac:dyDescent="0.2">
      <c r="A134" s="148"/>
      <c r="B134" s="148"/>
      <c r="C134" s="148"/>
      <c r="D134" s="149"/>
    </row>
    <row r="135" spans="1:4" x14ac:dyDescent="0.2">
      <c r="A135" s="148"/>
      <c r="B135" s="148"/>
    </row>
    <row r="136" spans="1:4" x14ac:dyDescent="0.2">
      <c r="A136" s="62"/>
      <c r="B136" s="62"/>
    </row>
    <row r="137" spans="1:4" x14ac:dyDescent="0.2">
      <c r="A137" s="62"/>
      <c r="B137" s="62"/>
    </row>
    <row r="138" spans="1:4" x14ac:dyDescent="0.2">
      <c r="A138" s="62"/>
      <c r="B138" s="62"/>
    </row>
  </sheetData>
  <mergeCells count="60">
    <mergeCell ref="B8:C8"/>
    <mergeCell ref="B9:C9"/>
    <mergeCell ref="B10:C10"/>
    <mergeCell ref="A1:D1"/>
    <mergeCell ref="A2:D2"/>
    <mergeCell ref="A3:D3"/>
    <mergeCell ref="A4:C4"/>
    <mergeCell ref="A6:D6"/>
    <mergeCell ref="B7:C7"/>
    <mergeCell ref="A36:D36"/>
    <mergeCell ref="A21:D21"/>
    <mergeCell ref="B22:C22"/>
    <mergeCell ref="A25:C25"/>
    <mergeCell ref="A27:D27"/>
    <mergeCell ref="A35:D35"/>
    <mergeCell ref="B29:C29"/>
    <mergeCell ref="A32:B32"/>
    <mergeCell ref="A33:B33"/>
    <mergeCell ref="A34:C34"/>
    <mergeCell ref="A47:D47"/>
    <mergeCell ref="A48:D48"/>
    <mergeCell ref="B49:C49"/>
    <mergeCell ref="A53:C53"/>
    <mergeCell ref="A80:D80"/>
    <mergeCell ref="A54:D54"/>
    <mergeCell ref="A55:D55"/>
    <mergeCell ref="B56:C56"/>
    <mergeCell ref="B57:C57"/>
    <mergeCell ref="B58:C58"/>
    <mergeCell ref="B59:C59"/>
    <mergeCell ref="A60:C60"/>
    <mergeCell ref="A62:D62"/>
    <mergeCell ref="A70:C70"/>
    <mergeCell ref="A72:D72"/>
    <mergeCell ref="A78:C78"/>
    <mergeCell ref="A11:D11"/>
    <mergeCell ref="A12:D12"/>
    <mergeCell ref="A13:C13"/>
    <mergeCell ref="A14:C14"/>
    <mergeCell ref="A15:D15"/>
    <mergeCell ref="A16:D16"/>
    <mergeCell ref="B17:C17"/>
    <mergeCell ref="B18:C18"/>
    <mergeCell ref="B19:C19"/>
    <mergeCell ref="A28:D28"/>
    <mergeCell ref="A81:D81"/>
    <mergeCell ref="B125:C125"/>
    <mergeCell ref="A126:C126"/>
    <mergeCell ref="A128:C128"/>
    <mergeCell ref="A91:D91"/>
    <mergeCell ref="A96:D96"/>
    <mergeCell ref="A107:D107"/>
    <mergeCell ref="A118:D118"/>
    <mergeCell ref="B121:C121"/>
    <mergeCell ref="B122:C122"/>
    <mergeCell ref="B127:C127"/>
    <mergeCell ref="A102:D102"/>
    <mergeCell ref="A108:D108"/>
    <mergeCell ref="B123:C123"/>
    <mergeCell ref="B124:C124"/>
  </mergeCells>
  <pageMargins left="0.25" right="0.25"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3A21-F8FC-4CF6-9F90-5E1403AAECCA}">
  <sheetPr>
    <pageSetUpPr fitToPage="1"/>
  </sheetPr>
  <dimension ref="A1:E139"/>
  <sheetViews>
    <sheetView workbookViewId="0">
      <selection sqref="A1:D1"/>
    </sheetView>
  </sheetViews>
  <sheetFormatPr defaultRowHeight="12.75" x14ac:dyDescent="0.25"/>
  <cols>
    <col min="1" max="1" width="5" style="148" bestFit="1" customWidth="1"/>
    <col min="2" max="2" width="61" style="148" bestFit="1" customWidth="1"/>
    <col min="3" max="3" width="17.5703125" style="148" bestFit="1" customWidth="1"/>
    <col min="4" max="4" width="19.85546875" style="148" bestFit="1" customWidth="1"/>
    <col min="5" max="5" width="9.140625" style="62"/>
    <col min="6" max="16384" width="9.140625" style="148"/>
  </cols>
  <sheetData>
    <row r="1" spans="1:4" x14ac:dyDescent="0.25">
      <c r="A1" s="314" t="s">
        <v>296</v>
      </c>
      <c r="B1" s="314"/>
      <c r="C1" s="314"/>
      <c r="D1" s="314"/>
    </row>
    <row r="2" spans="1:4" x14ac:dyDescent="0.25">
      <c r="A2" s="315"/>
      <c r="B2" s="314"/>
      <c r="C2" s="314"/>
      <c r="D2" s="316"/>
    </row>
    <row r="3" spans="1:4" ht="13.5" thickBot="1" x14ac:dyDescent="0.3">
      <c r="A3" s="317" t="s">
        <v>30</v>
      </c>
      <c r="B3" s="317"/>
      <c r="C3" s="317"/>
      <c r="D3" s="317"/>
    </row>
    <row r="4" spans="1:4" x14ac:dyDescent="0.25">
      <c r="A4" s="349" t="s">
        <v>31</v>
      </c>
      <c r="B4" s="350"/>
      <c r="C4" s="350"/>
      <c r="D4" s="105"/>
    </row>
    <row r="5" spans="1:4" x14ac:dyDescent="0.25">
      <c r="A5" s="106"/>
      <c r="B5" s="107"/>
      <c r="C5" s="107"/>
      <c r="D5" s="107"/>
    </row>
    <row r="6" spans="1:4" ht="13.5" thickBot="1" x14ac:dyDescent="0.3">
      <c r="A6" s="320" t="s">
        <v>32</v>
      </c>
      <c r="B6" s="320"/>
      <c r="C6" s="320"/>
      <c r="D6" s="320"/>
    </row>
    <row r="7" spans="1:4" x14ac:dyDescent="0.25">
      <c r="A7" s="108" t="s">
        <v>33</v>
      </c>
      <c r="B7" s="351" t="s">
        <v>34</v>
      </c>
      <c r="C7" s="351"/>
      <c r="D7" s="109"/>
    </row>
    <row r="8" spans="1:4" x14ac:dyDescent="0.25">
      <c r="A8" s="110" t="s">
        <v>35</v>
      </c>
      <c r="B8" s="329" t="s">
        <v>36</v>
      </c>
      <c r="C8" s="329"/>
      <c r="D8" s="111" t="s">
        <v>37</v>
      </c>
    </row>
    <row r="9" spans="1:4" x14ac:dyDescent="0.25">
      <c r="A9" s="112" t="s">
        <v>38</v>
      </c>
      <c r="B9" s="277" t="s">
        <v>39</v>
      </c>
      <c r="C9" s="277"/>
      <c r="D9" s="184" t="s">
        <v>247</v>
      </c>
    </row>
    <row r="10" spans="1:4" x14ac:dyDescent="0.25">
      <c r="A10" s="112" t="s">
        <v>57</v>
      </c>
      <c r="B10" s="273" t="s">
        <v>148</v>
      </c>
      <c r="C10" s="275"/>
      <c r="D10" s="111" t="s">
        <v>149</v>
      </c>
    </row>
    <row r="11" spans="1:4" x14ac:dyDescent="0.25">
      <c r="A11" s="112" t="s">
        <v>41</v>
      </c>
      <c r="B11" s="277" t="s">
        <v>40</v>
      </c>
      <c r="C11" s="277"/>
      <c r="D11" s="169">
        <v>45679</v>
      </c>
    </row>
    <row r="12" spans="1:4" x14ac:dyDescent="0.25">
      <c r="A12" s="112" t="s">
        <v>42</v>
      </c>
      <c r="B12" s="277" t="s">
        <v>45</v>
      </c>
      <c r="C12" s="277"/>
      <c r="D12" s="111" t="s">
        <v>46</v>
      </c>
    </row>
    <row r="13" spans="1:4" x14ac:dyDescent="0.25">
      <c r="A13" s="277"/>
      <c r="B13" s="277"/>
      <c r="C13" s="277"/>
      <c r="D13" s="277"/>
    </row>
    <row r="14" spans="1:4" ht="13.5" thickBot="1" x14ac:dyDescent="0.3">
      <c r="A14" s="276" t="s">
        <v>47</v>
      </c>
      <c r="B14" s="276"/>
      <c r="C14" s="276"/>
      <c r="D14" s="276"/>
    </row>
    <row r="15" spans="1:4" x14ac:dyDescent="0.25">
      <c r="A15" s="277" t="s">
        <v>48</v>
      </c>
      <c r="B15" s="277"/>
      <c r="C15" s="277"/>
      <c r="D15" s="112" t="s">
        <v>168</v>
      </c>
    </row>
    <row r="16" spans="1:4" x14ac:dyDescent="0.25">
      <c r="A16" s="277" t="s">
        <v>150</v>
      </c>
      <c r="B16" s="277"/>
      <c r="C16" s="277"/>
      <c r="D16" s="111" t="s">
        <v>216</v>
      </c>
    </row>
    <row r="17" spans="1:4" x14ac:dyDescent="0.25">
      <c r="A17" s="274"/>
      <c r="B17" s="274"/>
      <c r="C17" s="274"/>
      <c r="D17" s="275"/>
    </row>
    <row r="18" spans="1:4" ht="13.5" thickBot="1" x14ac:dyDescent="0.3">
      <c r="A18" s="276" t="s">
        <v>49</v>
      </c>
      <c r="B18" s="276"/>
      <c r="C18" s="276"/>
      <c r="D18" s="276"/>
    </row>
    <row r="19" spans="1:4" x14ac:dyDescent="0.25">
      <c r="A19" s="110">
        <v>3</v>
      </c>
      <c r="B19" s="278" t="s">
        <v>50</v>
      </c>
      <c r="C19" s="279"/>
      <c r="D19" s="113">
        <v>1756.29</v>
      </c>
    </row>
    <row r="20" spans="1:4" ht="25.5" x14ac:dyDescent="0.25">
      <c r="A20" s="112">
        <v>4</v>
      </c>
      <c r="B20" s="277" t="s">
        <v>51</v>
      </c>
      <c r="C20" s="277"/>
      <c r="D20" s="112" t="s">
        <v>227</v>
      </c>
    </row>
    <row r="21" spans="1:4" x14ac:dyDescent="0.25">
      <c r="A21" s="112">
        <v>6</v>
      </c>
      <c r="B21" s="277" t="s">
        <v>52</v>
      </c>
      <c r="C21" s="277"/>
      <c r="D21" s="113">
        <v>1518</v>
      </c>
    </row>
    <row r="22" spans="1:4" ht="13.5" thickBot="1" x14ac:dyDescent="0.3">
      <c r="A22" s="62"/>
      <c r="B22" s="62"/>
      <c r="C22" s="62"/>
      <c r="D22" s="62"/>
    </row>
    <row r="23" spans="1:4" ht="13.5" thickBot="1" x14ac:dyDescent="0.3">
      <c r="A23" s="280" t="s">
        <v>53</v>
      </c>
      <c r="B23" s="280"/>
      <c r="C23" s="280"/>
      <c r="D23" s="280"/>
    </row>
    <row r="24" spans="1:4" x14ac:dyDescent="0.25">
      <c r="A24" s="114">
        <v>1</v>
      </c>
      <c r="B24" s="284" t="s">
        <v>55</v>
      </c>
      <c r="C24" s="284"/>
      <c r="D24" s="114" t="s">
        <v>56</v>
      </c>
    </row>
    <row r="25" spans="1:4" x14ac:dyDescent="0.25">
      <c r="A25" s="110" t="s">
        <v>33</v>
      </c>
      <c r="B25" s="110" t="s">
        <v>191</v>
      </c>
      <c r="C25" s="110"/>
      <c r="D25" s="116">
        <f>D19</f>
        <v>1756.29</v>
      </c>
    </row>
    <row r="26" spans="1:4" x14ac:dyDescent="0.25">
      <c r="A26" s="110" t="s">
        <v>35</v>
      </c>
      <c r="B26" s="110" t="s">
        <v>151</v>
      </c>
      <c r="C26" s="110"/>
      <c r="D26" s="116">
        <f>D25*0.2</f>
        <v>351.25800000000004</v>
      </c>
    </row>
    <row r="27" spans="1:4" x14ac:dyDescent="0.25">
      <c r="A27" s="284" t="s">
        <v>58</v>
      </c>
      <c r="B27" s="284"/>
      <c r="C27" s="284"/>
      <c r="D27" s="117">
        <f>SUM(D25:D26)</f>
        <v>2107.5479999999998</v>
      </c>
    </row>
    <row r="28" spans="1:4" ht="13.5" thickBot="1" x14ac:dyDescent="0.3">
      <c r="A28" s="62" t="s">
        <v>54</v>
      </c>
      <c r="B28" s="62"/>
      <c r="C28" s="62"/>
      <c r="D28" s="62"/>
    </row>
    <row r="29" spans="1:4" ht="13.5" thickBot="1" x14ac:dyDescent="0.3">
      <c r="A29" s="280" t="s">
        <v>59</v>
      </c>
      <c r="B29" s="280"/>
      <c r="C29" s="280"/>
      <c r="D29" s="280"/>
    </row>
    <row r="30" spans="1:4" x14ac:dyDescent="0.25">
      <c r="A30" s="312" t="s">
        <v>60</v>
      </c>
      <c r="B30" s="312"/>
      <c r="C30" s="312"/>
      <c r="D30" s="312"/>
    </row>
    <row r="31" spans="1:4" x14ac:dyDescent="0.25">
      <c r="A31" s="114" t="s">
        <v>61</v>
      </c>
      <c r="B31" s="284" t="s">
        <v>62</v>
      </c>
      <c r="C31" s="284"/>
      <c r="D31" s="114" t="s">
        <v>56</v>
      </c>
    </row>
    <row r="32" spans="1:4" x14ac:dyDescent="0.25">
      <c r="A32" s="111" t="s">
        <v>33</v>
      </c>
      <c r="B32" s="111" t="s">
        <v>63</v>
      </c>
      <c r="C32" s="118">
        <v>8.3299999999999999E-2</v>
      </c>
      <c r="D32" s="119">
        <f>C32*D27</f>
        <v>175.55874839999998</v>
      </c>
    </row>
    <row r="33" spans="1:4" x14ac:dyDescent="0.25">
      <c r="A33" s="111" t="s">
        <v>35</v>
      </c>
      <c r="B33" s="111" t="s">
        <v>64</v>
      </c>
      <c r="C33" s="118">
        <v>2.7799999999999998E-2</v>
      </c>
      <c r="D33" s="119">
        <f>SUM(D27*C33)</f>
        <v>58.589834399999987</v>
      </c>
    </row>
    <row r="34" spans="1:4" x14ac:dyDescent="0.25">
      <c r="A34" s="305" t="s">
        <v>131</v>
      </c>
      <c r="B34" s="306"/>
      <c r="C34" s="120">
        <f>SUM(C32+C33)</f>
        <v>0.1111</v>
      </c>
      <c r="D34" s="121">
        <f>SUM(D32:D33)</f>
        <v>234.14858279999999</v>
      </c>
    </row>
    <row r="35" spans="1:4" x14ac:dyDescent="0.25">
      <c r="A35" s="313" t="s">
        <v>130</v>
      </c>
      <c r="B35" s="293"/>
      <c r="C35" s="123">
        <f>SUM(C40:C47)</f>
        <v>0.36800000000000005</v>
      </c>
      <c r="D35" s="119">
        <f>SUM(D34*C35)</f>
        <v>86.166678470400001</v>
      </c>
    </row>
    <row r="36" spans="1:4" x14ac:dyDescent="0.25">
      <c r="A36" s="307" t="s">
        <v>58</v>
      </c>
      <c r="B36" s="308"/>
      <c r="C36" s="309"/>
      <c r="D36" s="124">
        <f>SUM(D34+D35)</f>
        <v>320.31526127040001</v>
      </c>
    </row>
    <row r="37" spans="1:4" x14ac:dyDescent="0.25">
      <c r="A37" s="304"/>
      <c r="B37" s="304"/>
      <c r="C37" s="304"/>
      <c r="D37" s="304"/>
    </row>
    <row r="38" spans="1:4" x14ac:dyDescent="0.25">
      <c r="A38" s="296" t="s">
        <v>65</v>
      </c>
      <c r="B38" s="296"/>
      <c r="C38" s="296"/>
      <c r="D38" s="296"/>
    </row>
    <row r="39" spans="1:4" x14ac:dyDescent="0.25">
      <c r="A39" s="126" t="s">
        <v>66</v>
      </c>
      <c r="B39" s="126" t="s">
        <v>67</v>
      </c>
      <c r="C39" s="126" t="s">
        <v>68</v>
      </c>
      <c r="D39" s="126" t="s">
        <v>56</v>
      </c>
    </row>
    <row r="40" spans="1:4" x14ac:dyDescent="0.25">
      <c r="A40" s="127" t="s">
        <v>33</v>
      </c>
      <c r="B40" s="127" t="s">
        <v>69</v>
      </c>
      <c r="C40" s="123">
        <v>0.2</v>
      </c>
      <c r="D40" s="116">
        <f>D27*C40</f>
        <v>421.50959999999998</v>
      </c>
    </row>
    <row r="41" spans="1:4" x14ac:dyDescent="0.25">
      <c r="A41" s="127" t="s">
        <v>35</v>
      </c>
      <c r="B41" s="127" t="s">
        <v>70</v>
      </c>
      <c r="C41" s="123">
        <v>2.5000000000000001E-2</v>
      </c>
      <c r="D41" s="116">
        <f>D27*C41</f>
        <v>52.688699999999997</v>
      </c>
    </row>
    <row r="42" spans="1:4" x14ac:dyDescent="0.25">
      <c r="A42" s="127" t="s">
        <v>38</v>
      </c>
      <c r="B42" s="128" t="s">
        <v>71</v>
      </c>
      <c r="C42" s="129">
        <v>0.03</v>
      </c>
      <c r="D42" s="116">
        <f>D27*C42</f>
        <v>63.22643999999999</v>
      </c>
    </row>
    <row r="43" spans="1:4" x14ac:dyDescent="0.25">
      <c r="A43" s="127" t="s">
        <v>57</v>
      </c>
      <c r="B43" s="127" t="s">
        <v>72</v>
      </c>
      <c r="C43" s="123">
        <v>1.4999999999999999E-2</v>
      </c>
      <c r="D43" s="116">
        <f>D27*C43</f>
        <v>31.613219999999995</v>
      </c>
    </row>
    <row r="44" spans="1:4" x14ac:dyDescent="0.25">
      <c r="A44" s="127" t="s">
        <v>41</v>
      </c>
      <c r="B44" s="127" t="s">
        <v>73</v>
      </c>
      <c r="C44" s="123">
        <v>0.01</v>
      </c>
      <c r="D44" s="116">
        <f>D27*C44</f>
        <v>21.075479999999999</v>
      </c>
    </row>
    <row r="45" spans="1:4" x14ac:dyDescent="0.25">
      <c r="A45" s="127" t="s">
        <v>42</v>
      </c>
      <c r="B45" s="127" t="s">
        <v>74</v>
      </c>
      <c r="C45" s="123">
        <v>6.0000000000000001E-3</v>
      </c>
      <c r="D45" s="116">
        <f>D27*C45</f>
        <v>12.645287999999999</v>
      </c>
    </row>
    <row r="46" spans="1:4" x14ac:dyDescent="0.25">
      <c r="A46" s="127" t="s">
        <v>43</v>
      </c>
      <c r="B46" s="127" t="s">
        <v>75</v>
      </c>
      <c r="C46" s="123">
        <v>2E-3</v>
      </c>
      <c r="D46" s="116">
        <f>D27*C46</f>
        <v>4.215096</v>
      </c>
    </row>
    <row r="47" spans="1:4" x14ac:dyDescent="0.25">
      <c r="A47" s="127" t="s">
        <v>44</v>
      </c>
      <c r="B47" s="127" t="s">
        <v>76</v>
      </c>
      <c r="C47" s="123">
        <v>0.08</v>
      </c>
      <c r="D47" s="116">
        <f>D27*C47</f>
        <v>168.60383999999999</v>
      </c>
    </row>
    <row r="48" spans="1:4" x14ac:dyDescent="0.25">
      <c r="A48" s="127"/>
      <c r="B48" s="126" t="s">
        <v>58</v>
      </c>
      <c r="C48" s="123">
        <f>SUM(C40:C47)</f>
        <v>0.36800000000000005</v>
      </c>
      <c r="D48" s="117">
        <f>SUM(D40:D47)</f>
        <v>775.57766399999991</v>
      </c>
    </row>
    <row r="49" spans="1:4" x14ac:dyDescent="0.25">
      <c r="A49" s="304"/>
      <c r="B49" s="304"/>
      <c r="C49" s="304"/>
      <c r="D49" s="304"/>
    </row>
    <row r="50" spans="1:4" x14ac:dyDescent="0.25">
      <c r="A50" s="296" t="s">
        <v>77</v>
      </c>
      <c r="B50" s="296"/>
      <c r="C50" s="296"/>
      <c r="D50" s="296"/>
    </row>
    <row r="51" spans="1:4" x14ac:dyDescent="0.25">
      <c r="A51" s="114" t="s">
        <v>78</v>
      </c>
      <c r="B51" s="284" t="s">
        <v>79</v>
      </c>
      <c r="C51" s="284"/>
      <c r="D51" s="114" t="s">
        <v>56</v>
      </c>
    </row>
    <row r="52" spans="1:4" x14ac:dyDescent="0.25">
      <c r="A52" s="110" t="s">
        <v>33</v>
      </c>
      <c r="B52" s="110" t="s">
        <v>140</v>
      </c>
      <c r="C52" s="130">
        <v>5.15</v>
      </c>
      <c r="D52" s="119">
        <f>(2*5.15*24) - (D25*6%)</f>
        <v>141.82260000000002</v>
      </c>
    </row>
    <row r="53" spans="1:4" x14ac:dyDescent="0.25">
      <c r="A53" s="110" t="s">
        <v>35</v>
      </c>
      <c r="B53" s="132" t="s">
        <v>146</v>
      </c>
      <c r="C53" s="133">
        <v>27.29</v>
      </c>
      <c r="D53" s="134">
        <f>27.29*24*99%</f>
        <v>648.41039999999998</v>
      </c>
    </row>
    <row r="54" spans="1:4" x14ac:dyDescent="0.25">
      <c r="A54" s="110" t="s">
        <v>38</v>
      </c>
      <c r="B54" s="110" t="s">
        <v>142</v>
      </c>
      <c r="C54" s="130"/>
      <c r="D54" s="119">
        <v>11</v>
      </c>
    </row>
    <row r="55" spans="1:4" x14ac:dyDescent="0.25">
      <c r="A55" s="110" t="s">
        <v>57</v>
      </c>
      <c r="B55" s="110" t="s">
        <v>147</v>
      </c>
      <c r="C55" s="135"/>
      <c r="D55" s="136">
        <f>SUM(D27*7%)</f>
        <v>147.52835999999999</v>
      </c>
    </row>
    <row r="56" spans="1:4" x14ac:dyDescent="0.25">
      <c r="A56" s="110" t="s">
        <v>41</v>
      </c>
      <c r="B56" s="110" t="s">
        <v>144</v>
      </c>
      <c r="C56" s="135"/>
      <c r="D56" s="136">
        <v>0</v>
      </c>
    </row>
    <row r="57" spans="1:4" x14ac:dyDescent="0.25">
      <c r="A57" s="110" t="s">
        <v>42</v>
      </c>
      <c r="B57" s="110" t="s">
        <v>143</v>
      </c>
      <c r="C57" s="135"/>
      <c r="D57" s="136">
        <v>10.46</v>
      </c>
    </row>
    <row r="58" spans="1:4" x14ac:dyDescent="0.25">
      <c r="A58" s="110" t="s">
        <v>43</v>
      </c>
      <c r="B58" s="110" t="s">
        <v>145</v>
      </c>
      <c r="C58" s="135">
        <v>0.01</v>
      </c>
      <c r="D58" s="136">
        <f>D27*1/100</f>
        <v>21.075479999999999</v>
      </c>
    </row>
    <row r="59" spans="1:4" x14ac:dyDescent="0.25">
      <c r="A59" s="284" t="s">
        <v>58</v>
      </c>
      <c r="B59" s="284"/>
      <c r="C59" s="284"/>
      <c r="D59" s="121">
        <f>SUM(D52:D58)</f>
        <v>980.29683999999997</v>
      </c>
    </row>
    <row r="60" spans="1:4" x14ac:dyDescent="0.25">
      <c r="A60" s="304"/>
      <c r="B60" s="304"/>
      <c r="C60" s="304"/>
      <c r="D60" s="304"/>
    </row>
    <row r="61" spans="1:4" x14ac:dyDescent="0.25">
      <c r="A61" s="296" t="s">
        <v>80</v>
      </c>
      <c r="B61" s="296"/>
      <c r="C61" s="296"/>
      <c r="D61" s="296"/>
    </row>
    <row r="62" spans="1:4" x14ac:dyDescent="0.25">
      <c r="A62" s="114">
        <v>2</v>
      </c>
      <c r="B62" s="284" t="s">
        <v>81</v>
      </c>
      <c r="C62" s="284"/>
      <c r="D62" s="114" t="s">
        <v>56</v>
      </c>
    </row>
    <row r="63" spans="1:4" x14ac:dyDescent="0.25">
      <c r="A63" s="110" t="s">
        <v>61</v>
      </c>
      <c r="B63" s="297" t="s">
        <v>82</v>
      </c>
      <c r="C63" s="297"/>
      <c r="D63" s="116">
        <f>D36</f>
        <v>320.31526127040001</v>
      </c>
    </row>
    <row r="64" spans="1:4" x14ac:dyDescent="0.25">
      <c r="A64" s="110" t="s">
        <v>66</v>
      </c>
      <c r="B64" s="297" t="s">
        <v>67</v>
      </c>
      <c r="C64" s="297"/>
      <c r="D64" s="116">
        <f>D48</f>
        <v>775.57766399999991</v>
      </c>
    </row>
    <row r="65" spans="1:4" x14ac:dyDescent="0.25">
      <c r="A65" s="110" t="s">
        <v>78</v>
      </c>
      <c r="B65" s="297" t="s">
        <v>79</v>
      </c>
      <c r="C65" s="297"/>
      <c r="D65" s="116">
        <f>D59</f>
        <v>980.29683999999997</v>
      </c>
    </row>
    <row r="66" spans="1:4" x14ac:dyDescent="0.25">
      <c r="A66" s="284" t="s">
        <v>58</v>
      </c>
      <c r="B66" s="284"/>
      <c r="C66" s="284"/>
      <c r="D66" s="117">
        <f>SUM(D63:D65)</f>
        <v>2076.1897652704001</v>
      </c>
    </row>
    <row r="67" spans="1:4" x14ac:dyDescent="0.25">
      <c r="A67" s="137"/>
      <c r="B67" s="137"/>
      <c r="C67" s="137"/>
      <c r="D67" s="138"/>
    </row>
    <row r="68" spans="1:4" x14ac:dyDescent="0.25">
      <c r="A68" s="294" t="s">
        <v>137</v>
      </c>
      <c r="B68" s="294"/>
      <c r="C68" s="294"/>
      <c r="D68" s="294"/>
    </row>
    <row r="69" spans="1:4" x14ac:dyDescent="0.25">
      <c r="A69" s="122">
        <v>3</v>
      </c>
      <c r="B69" s="114" t="s">
        <v>83</v>
      </c>
      <c r="C69" s="114" t="s">
        <v>84</v>
      </c>
      <c r="D69" s="114" t="s">
        <v>56</v>
      </c>
    </row>
    <row r="70" spans="1:4" x14ac:dyDescent="0.25">
      <c r="A70" s="111" t="s">
        <v>33</v>
      </c>
      <c r="B70" s="111" t="s">
        <v>85</v>
      </c>
      <c r="C70" s="139">
        <v>4.1700000000000001E-3</v>
      </c>
      <c r="D70" s="140">
        <f>D27*C70</f>
        <v>8.7884751599999991</v>
      </c>
    </row>
    <row r="71" spans="1:4" x14ac:dyDescent="0.25">
      <c r="A71" s="111" t="s">
        <v>35</v>
      </c>
      <c r="B71" s="111" t="s">
        <v>86</v>
      </c>
      <c r="C71" s="141">
        <v>3.3399999999999999E-4</v>
      </c>
      <c r="D71" s="142">
        <f>D27*C71</f>
        <v>0.70392103199999989</v>
      </c>
    </row>
    <row r="72" spans="1:4" x14ac:dyDescent="0.25">
      <c r="A72" s="63" t="s">
        <v>38</v>
      </c>
      <c r="B72" s="63" t="s">
        <v>87</v>
      </c>
      <c r="C72" s="143">
        <v>1.6000000000000001E-3</v>
      </c>
      <c r="D72" s="144">
        <f>SUM(D27+D34)*C72</f>
        <v>3.74671453248</v>
      </c>
    </row>
    <row r="73" spans="1:4" x14ac:dyDescent="0.25">
      <c r="A73" s="111" t="s">
        <v>57</v>
      </c>
      <c r="B73" s="111" t="s">
        <v>88</v>
      </c>
      <c r="C73" s="145">
        <v>1.84E-2</v>
      </c>
      <c r="D73" s="140">
        <f>D27*C73</f>
        <v>38.778883199999996</v>
      </c>
    </row>
    <row r="74" spans="1:4" x14ac:dyDescent="0.25">
      <c r="A74" s="110" t="s">
        <v>41</v>
      </c>
      <c r="B74" s="110" t="s">
        <v>89</v>
      </c>
      <c r="C74" s="146">
        <v>5.4000000000000003E-3</v>
      </c>
      <c r="D74" s="147">
        <f>D27*C74</f>
        <v>11.3807592</v>
      </c>
    </row>
    <row r="75" spans="1:4" x14ac:dyDescent="0.25">
      <c r="A75" s="63" t="s">
        <v>42</v>
      </c>
      <c r="B75" s="63" t="s">
        <v>90</v>
      </c>
      <c r="C75" s="143">
        <v>3.04E-2</v>
      </c>
      <c r="D75" s="144">
        <f>(D27+D34)*C75</f>
        <v>71.187576117119988</v>
      </c>
    </row>
    <row r="76" spans="1:4" x14ac:dyDescent="0.25">
      <c r="A76" s="293" t="s">
        <v>58</v>
      </c>
      <c r="B76" s="293"/>
      <c r="C76" s="293"/>
      <c r="D76" s="121">
        <f>SUM(D70:D75)</f>
        <v>134.58632924159997</v>
      </c>
    </row>
    <row r="77" spans="1:4" x14ac:dyDescent="0.25">
      <c r="D77" s="149"/>
    </row>
    <row r="78" spans="1:4" x14ac:dyDescent="0.25">
      <c r="A78" s="295" t="s">
        <v>132</v>
      </c>
      <c r="B78" s="295"/>
      <c r="C78" s="295"/>
      <c r="D78" s="295"/>
    </row>
    <row r="79" spans="1:4" x14ac:dyDescent="0.25">
      <c r="A79" s="111" t="s">
        <v>33</v>
      </c>
      <c r="B79" s="111" t="s">
        <v>133</v>
      </c>
      <c r="C79" s="122"/>
      <c r="D79" s="121">
        <f>D27</f>
        <v>2107.5479999999998</v>
      </c>
    </row>
    <row r="80" spans="1:4" x14ac:dyDescent="0.25">
      <c r="A80" s="111" t="s">
        <v>35</v>
      </c>
      <c r="B80" s="111" t="s">
        <v>117</v>
      </c>
      <c r="C80" s="122"/>
      <c r="D80" s="121">
        <f>D66</f>
        <v>2076.1897652704001</v>
      </c>
    </row>
    <row r="81" spans="1:4" x14ac:dyDescent="0.25">
      <c r="A81" s="63" t="s">
        <v>38</v>
      </c>
      <c r="B81" s="63" t="s">
        <v>134</v>
      </c>
      <c r="C81" s="150">
        <f>D79/12</f>
        <v>175.62899999999999</v>
      </c>
      <c r="D81" s="150">
        <f>C81*C48+C81</f>
        <v>240.26047199999999</v>
      </c>
    </row>
    <row r="82" spans="1:4" x14ac:dyDescent="0.25">
      <c r="A82" s="111" t="s">
        <v>57</v>
      </c>
      <c r="B82" s="111" t="s">
        <v>118</v>
      </c>
      <c r="C82" s="122"/>
      <c r="D82" s="121">
        <f>D76</f>
        <v>134.58632924159997</v>
      </c>
    </row>
    <row r="83" spans="1:4" x14ac:dyDescent="0.25">
      <c r="A83" s="111" t="s">
        <v>41</v>
      </c>
      <c r="B83" s="111" t="s">
        <v>135</v>
      </c>
      <c r="C83" s="122"/>
      <c r="D83" s="168">
        <f>-(D52+D53)</f>
        <v>-790.23299999999995</v>
      </c>
    </row>
    <row r="84" spans="1:4" x14ac:dyDescent="0.25">
      <c r="A84" s="293" t="s">
        <v>136</v>
      </c>
      <c r="B84" s="293"/>
      <c r="C84" s="293"/>
      <c r="D84" s="121">
        <f>SUM(D79:D83)</f>
        <v>3768.3515665119994</v>
      </c>
    </row>
    <row r="85" spans="1:4" ht="13.5" thickBot="1" x14ac:dyDescent="0.3"/>
    <row r="86" spans="1:4" ht="13.5" thickBot="1" x14ac:dyDescent="0.3">
      <c r="A86" s="280" t="s">
        <v>91</v>
      </c>
      <c r="B86" s="280"/>
      <c r="C86" s="280"/>
      <c r="D86" s="280"/>
    </row>
    <row r="87" spans="1:4" x14ac:dyDescent="0.25">
      <c r="A87" s="296" t="s">
        <v>92</v>
      </c>
      <c r="B87" s="296"/>
      <c r="C87" s="296"/>
      <c r="D87" s="296"/>
    </row>
    <row r="88" spans="1:4" x14ac:dyDescent="0.25">
      <c r="A88" s="114" t="s">
        <v>93</v>
      </c>
      <c r="B88" s="114" t="s">
        <v>94</v>
      </c>
      <c r="C88" s="114" t="s">
        <v>84</v>
      </c>
      <c r="D88" s="114" t="s">
        <v>56</v>
      </c>
    </row>
    <row r="89" spans="1:4" x14ac:dyDescent="0.25">
      <c r="A89" s="111" t="s">
        <v>33</v>
      </c>
      <c r="B89" s="110" t="s">
        <v>95</v>
      </c>
      <c r="C89" s="123">
        <v>8.3299999999999999E-2</v>
      </c>
      <c r="D89" s="119">
        <f>D84*C89</f>
        <v>313.90368549044956</v>
      </c>
    </row>
    <row r="90" spans="1:4" x14ac:dyDescent="0.25">
      <c r="A90" s="111" t="s">
        <v>35</v>
      </c>
      <c r="B90" s="110" t="s">
        <v>138</v>
      </c>
      <c r="C90" s="151">
        <v>2.2200000000000002E-3</v>
      </c>
      <c r="D90" s="119">
        <f>D84*C90</f>
        <v>8.3657404776566402</v>
      </c>
    </row>
    <row r="91" spans="1:4" x14ac:dyDescent="0.25">
      <c r="A91" s="111" t="s">
        <v>38</v>
      </c>
      <c r="B91" s="110" t="s">
        <v>96</v>
      </c>
      <c r="C91" s="151">
        <v>2.0000000000000001E-4</v>
      </c>
      <c r="D91" s="119">
        <f>D84*C91</f>
        <v>0.75367031330239986</v>
      </c>
    </row>
    <row r="92" spans="1:4" x14ac:dyDescent="0.25">
      <c r="A92" s="111" t="s">
        <v>57</v>
      </c>
      <c r="B92" s="110" t="s">
        <v>97</v>
      </c>
      <c r="C92" s="151">
        <v>2.7999999999999998E-4</v>
      </c>
      <c r="D92" s="119">
        <f>D84*C92</f>
        <v>1.0551384386233598</v>
      </c>
    </row>
    <row r="93" spans="1:4" x14ac:dyDescent="0.25">
      <c r="A93" s="111"/>
      <c r="B93" s="110" t="s">
        <v>139</v>
      </c>
      <c r="C93" s="151">
        <v>3.5999999999999999E-3</v>
      </c>
      <c r="D93" s="119">
        <f>D84*C93</f>
        <v>13.566065639443197</v>
      </c>
    </row>
    <row r="94" spans="1:4" x14ac:dyDescent="0.25">
      <c r="A94" s="111" t="s">
        <v>41</v>
      </c>
      <c r="B94" s="110" t="s">
        <v>98</v>
      </c>
      <c r="C94" s="151">
        <v>3.8999999999999999E-4</v>
      </c>
      <c r="D94" s="119">
        <f>D84*C94</f>
        <v>1.4696571109396797</v>
      </c>
    </row>
    <row r="95" spans="1:4" x14ac:dyDescent="0.25">
      <c r="A95" s="111" t="s">
        <v>42</v>
      </c>
      <c r="B95" s="110" t="s">
        <v>126</v>
      </c>
      <c r="C95" s="146"/>
      <c r="D95" s="119">
        <f>(($D$27+$D$66+$D$76)-$D$52)*C95</f>
        <v>0</v>
      </c>
    </row>
    <row r="96" spans="1:4" x14ac:dyDescent="0.25">
      <c r="A96" s="122" t="s">
        <v>58</v>
      </c>
      <c r="B96" s="122"/>
      <c r="C96" s="122"/>
      <c r="D96" s="121">
        <f>SUM(D89:D95)</f>
        <v>339.11395747041485</v>
      </c>
    </row>
    <row r="97" spans="1:4" x14ac:dyDescent="0.25">
      <c r="A97" s="290" t="s">
        <v>99</v>
      </c>
      <c r="B97" s="291"/>
      <c r="C97" s="291"/>
      <c r="D97" s="292"/>
    </row>
    <row r="98" spans="1:4" x14ac:dyDescent="0.25">
      <c r="A98" s="122" t="s">
        <v>100</v>
      </c>
      <c r="B98" s="111" t="s">
        <v>101</v>
      </c>
      <c r="C98" s="111"/>
      <c r="D98" s="114" t="s">
        <v>56</v>
      </c>
    </row>
    <row r="99" spans="1:4" x14ac:dyDescent="0.25">
      <c r="A99" s="111" t="s">
        <v>33</v>
      </c>
      <c r="B99" s="111" t="s">
        <v>102</v>
      </c>
      <c r="C99" s="111"/>
      <c r="D99" s="119">
        <v>0</v>
      </c>
    </row>
    <row r="100" spans="1:4" x14ac:dyDescent="0.25">
      <c r="A100" s="122" t="s">
        <v>58</v>
      </c>
      <c r="B100" s="122"/>
      <c r="C100" s="122"/>
      <c r="D100" s="121"/>
    </row>
    <row r="101" spans="1:4" x14ac:dyDescent="0.25">
      <c r="A101" s="125"/>
      <c r="B101" s="125"/>
      <c r="C101" s="125"/>
      <c r="D101" s="125"/>
    </row>
    <row r="102" spans="1:4" x14ac:dyDescent="0.25">
      <c r="A102" s="287" t="s">
        <v>103</v>
      </c>
      <c r="B102" s="288"/>
      <c r="C102" s="288"/>
      <c r="D102" s="289"/>
    </row>
    <row r="103" spans="1:4" x14ac:dyDescent="0.25">
      <c r="A103" s="114">
        <v>4</v>
      </c>
      <c r="B103" s="152" t="s">
        <v>104</v>
      </c>
      <c r="C103" s="153"/>
      <c r="D103" s="114" t="s">
        <v>56</v>
      </c>
    </row>
    <row r="104" spans="1:4" x14ac:dyDescent="0.25">
      <c r="A104" s="110" t="s">
        <v>93</v>
      </c>
      <c r="B104" s="154" t="s">
        <v>94</v>
      </c>
      <c r="C104" s="155"/>
      <c r="D104" s="156">
        <f>D96</f>
        <v>339.11395747041485</v>
      </c>
    </row>
    <row r="105" spans="1:4" x14ac:dyDescent="0.25">
      <c r="A105" s="110" t="s">
        <v>100</v>
      </c>
      <c r="B105" s="154" t="s">
        <v>101</v>
      </c>
      <c r="C105" s="155"/>
      <c r="D105" s="119">
        <f>D100</f>
        <v>0</v>
      </c>
    </row>
    <row r="106" spans="1:4" x14ac:dyDescent="0.25">
      <c r="A106" s="157" t="s">
        <v>58</v>
      </c>
      <c r="B106" s="158"/>
      <c r="C106" s="159"/>
      <c r="D106" s="121">
        <f>SUM(D104:D105)</f>
        <v>339.11395747041485</v>
      </c>
    </row>
    <row r="107" spans="1:4" x14ac:dyDescent="0.25">
      <c r="A107" s="62" t="s">
        <v>54</v>
      </c>
      <c r="B107" s="62"/>
      <c r="C107" s="62"/>
      <c r="D107" s="62"/>
    </row>
    <row r="108" spans="1:4" x14ac:dyDescent="0.25">
      <c r="A108" s="287" t="s">
        <v>105</v>
      </c>
      <c r="B108" s="288"/>
      <c r="C108" s="288"/>
      <c r="D108" s="289"/>
    </row>
    <row r="109" spans="1:4" x14ac:dyDescent="0.25">
      <c r="A109" s="114">
        <v>5</v>
      </c>
      <c r="B109" s="114" t="s">
        <v>106</v>
      </c>
      <c r="C109" s="114"/>
      <c r="D109" s="114" t="s">
        <v>56</v>
      </c>
    </row>
    <row r="110" spans="1:4" x14ac:dyDescent="0.25">
      <c r="A110" s="132" t="s">
        <v>33</v>
      </c>
      <c r="B110" s="160" t="s">
        <v>141</v>
      </c>
      <c r="C110" s="160"/>
      <c r="D110" s="136">
        <v>121.72</v>
      </c>
    </row>
    <row r="111" spans="1:4" x14ac:dyDescent="0.25">
      <c r="A111" s="110" t="s">
        <v>35</v>
      </c>
      <c r="B111" s="110" t="s">
        <v>164</v>
      </c>
      <c r="C111" s="114"/>
      <c r="D111" s="116">
        <v>0</v>
      </c>
    </row>
    <row r="112" spans="1:4" x14ac:dyDescent="0.25">
      <c r="A112" s="114" t="s">
        <v>58</v>
      </c>
      <c r="B112" s="114"/>
      <c r="C112" s="114"/>
      <c r="D112" s="117">
        <f>D110+D111</f>
        <v>121.72</v>
      </c>
    </row>
    <row r="113" spans="1:4" x14ac:dyDescent="0.25">
      <c r="A113" s="301"/>
      <c r="B113" s="301"/>
      <c r="C113" s="301"/>
      <c r="D113" s="301"/>
    </row>
    <row r="114" spans="1:4" x14ac:dyDescent="0.25">
      <c r="A114" s="287" t="s">
        <v>107</v>
      </c>
      <c r="B114" s="288"/>
      <c r="C114" s="288"/>
      <c r="D114" s="289"/>
    </row>
    <row r="115" spans="1:4" x14ac:dyDescent="0.25">
      <c r="A115" s="114">
        <v>6</v>
      </c>
      <c r="B115" s="114" t="s">
        <v>108</v>
      </c>
      <c r="C115" s="114" t="s">
        <v>68</v>
      </c>
      <c r="D115" s="114" t="s">
        <v>56</v>
      </c>
    </row>
    <row r="116" spans="1:4" x14ac:dyDescent="0.25">
      <c r="A116" s="110" t="s">
        <v>33</v>
      </c>
      <c r="B116" s="160" t="s">
        <v>109</v>
      </c>
      <c r="C116" s="161">
        <v>0.05</v>
      </c>
      <c r="D116" s="116">
        <f>C116*D132</f>
        <v>238.95790259912076</v>
      </c>
    </row>
    <row r="117" spans="1:4" x14ac:dyDescent="0.25">
      <c r="A117" s="110" t="s">
        <v>35</v>
      </c>
      <c r="B117" s="160" t="s">
        <v>110</v>
      </c>
      <c r="C117" s="161">
        <v>0.1</v>
      </c>
      <c r="D117" s="116">
        <f>C117*(D116+D132)</f>
        <v>501.81159545815353</v>
      </c>
    </row>
    <row r="118" spans="1:4" x14ac:dyDescent="0.25">
      <c r="A118" s="110" t="s">
        <v>38</v>
      </c>
      <c r="B118" s="160" t="s">
        <v>111</v>
      </c>
      <c r="C118" s="162">
        <v>6.1499999999999999E-2</v>
      </c>
      <c r="D118" s="116">
        <f>(D27+D66+D76+D106+D111+D116+D117)*(C119+C120+C121)/(1-(C119+C120+C121))</f>
        <v>353.74508718960135</v>
      </c>
    </row>
    <row r="119" spans="1:4" x14ac:dyDescent="0.25">
      <c r="A119" s="110"/>
      <c r="B119" s="132" t="s">
        <v>112</v>
      </c>
      <c r="C119" s="162">
        <v>6.4999999999999997E-3</v>
      </c>
      <c r="D119" s="116">
        <f>C119*D134</f>
        <v>38.178872141990389</v>
      </c>
    </row>
    <row r="120" spans="1:4" x14ac:dyDescent="0.25">
      <c r="A120" s="110"/>
      <c r="B120" s="132" t="s">
        <v>113</v>
      </c>
      <c r="C120" s="162">
        <v>0.03</v>
      </c>
      <c r="D120" s="116">
        <f>C120*D134</f>
        <v>176.21017911687872</v>
      </c>
    </row>
    <row r="121" spans="1:4" x14ac:dyDescent="0.25">
      <c r="A121" s="110"/>
      <c r="B121" s="110" t="s">
        <v>114</v>
      </c>
      <c r="C121" s="163">
        <v>2.5000000000000001E-2</v>
      </c>
      <c r="D121" s="116">
        <f>C121*D134</f>
        <v>146.84181593073228</v>
      </c>
    </row>
    <row r="122" spans="1:4" x14ac:dyDescent="0.25">
      <c r="A122" s="114" t="s">
        <v>58</v>
      </c>
      <c r="B122" s="114"/>
      <c r="C122" s="114"/>
      <c r="D122" s="117">
        <f>SUM(D116:D118)</f>
        <v>1094.5145852468756</v>
      </c>
    </row>
    <row r="123" spans="1:4" x14ac:dyDescent="0.25">
      <c r="A123" s="62"/>
      <c r="B123" s="62"/>
      <c r="C123" s="62"/>
      <c r="D123" s="62"/>
    </row>
    <row r="124" spans="1:4" x14ac:dyDescent="0.25">
      <c r="A124" s="321" t="s">
        <v>115</v>
      </c>
      <c r="B124" s="322"/>
      <c r="C124" s="322"/>
      <c r="D124" s="323"/>
    </row>
    <row r="125" spans="1:4" x14ac:dyDescent="0.25">
      <c r="A125" s="62" t="s">
        <v>54</v>
      </c>
      <c r="B125" s="62"/>
      <c r="C125" s="62"/>
      <c r="D125" s="62"/>
    </row>
    <row r="126" spans="1:4" x14ac:dyDescent="0.25">
      <c r="A126" s="110"/>
      <c r="B126" s="114" t="s">
        <v>116</v>
      </c>
      <c r="C126" s="114"/>
      <c r="D126" s="114" t="s">
        <v>56</v>
      </c>
    </row>
    <row r="127" spans="1:4" x14ac:dyDescent="0.25">
      <c r="A127" s="110" t="s">
        <v>33</v>
      </c>
      <c r="B127" s="285" t="s">
        <v>53</v>
      </c>
      <c r="C127" s="286"/>
      <c r="D127" s="116">
        <f>D27</f>
        <v>2107.5479999999998</v>
      </c>
    </row>
    <row r="128" spans="1:4" x14ac:dyDescent="0.25">
      <c r="A128" s="110" t="s">
        <v>35</v>
      </c>
      <c r="B128" s="285" t="s">
        <v>117</v>
      </c>
      <c r="C128" s="286"/>
      <c r="D128" s="116">
        <f>D66</f>
        <v>2076.1897652704001</v>
      </c>
    </row>
    <row r="129" spans="1:4" x14ac:dyDescent="0.25">
      <c r="A129" s="110" t="s">
        <v>38</v>
      </c>
      <c r="B129" s="285" t="s">
        <v>118</v>
      </c>
      <c r="C129" s="286"/>
      <c r="D129" s="116">
        <f>D76</f>
        <v>134.58632924159997</v>
      </c>
    </row>
    <row r="130" spans="1:4" x14ac:dyDescent="0.25">
      <c r="A130" s="110" t="s">
        <v>57</v>
      </c>
      <c r="B130" s="285" t="s">
        <v>119</v>
      </c>
      <c r="C130" s="286"/>
      <c r="D130" s="116">
        <f>D106</f>
        <v>339.11395747041485</v>
      </c>
    </row>
    <row r="131" spans="1:4" x14ac:dyDescent="0.25">
      <c r="A131" s="110" t="s">
        <v>41</v>
      </c>
      <c r="B131" s="285" t="s">
        <v>120</v>
      </c>
      <c r="C131" s="286"/>
      <c r="D131" s="116">
        <f>D112</f>
        <v>121.72</v>
      </c>
    </row>
    <row r="132" spans="1:4" x14ac:dyDescent="0.25">
      <c r="A132" s="281" t="s">
        <v>121</v>
      </c>
      <c r="B132" s="282"/>
      <c r="C132" s="283"/>
      <c r="D132" s="117">
        <f>SUM(D127:D131)</f>
        <v>4779.1580519824147</v>
      </c>
    </row>
    <row r="133" spans="1:4" x14ac:dyDescent="0.25">
      <c r="A133" s="110" t="s">
        <v>42</v>
      </c>
      <c r="B133" s="285" t="s">
        <v>122</v>
      </c>
      <c r="C133" s="286"/>
      <c r="D133" s="116">
        <f>D122</f>
        <v>1094.5145852468756</v>
      </c>
    </row>
    <row r="134" spans="1:4" x14ac:dyDescent="0.25">
      <c r="A134" s="298" t="s">
        <v>123</v>
      </c>
      <c r="B134" s="299"/>
      <c r="C134" s="300"/>
      <c r="D134" s="121">
        <f>SUM(D132+D133)</f>
        <v>5873.6726372292906</v>
      </c>
    </row>
    <row r="135" spans="1:4" x14ac:dyDescent="0.25">
      <c r="D135" s="149"/>
    </row>
    <row r="136" spans="1:4" x14ac:dyDescent="0.25">
      <c r="C136" s="122" t="s">
        <v>129</v>
      </c>
      <c r="D136" s="122">
        <v>2</v>
      </c>
    </row>
    <row r="137" spans="1:4" x14ac:dyDescent="0.25">
      <c r="A137" s="62"/>
      <c r="B137" s="62"/>
      <c r="C137" s="111" t="s">
        <v>124</v>
      </c>
      <c r="D137" s="164">
        <f>D136*D134</f>
        <v>11747.345274458581</v>
      </c>
    </row>
    <row r="138" spans="1:4" x14ac:dyDescent="0.25">
      <c r="A138" s="62"/>
      <c r="B138" s="62"/>
      <c r="C138" s="122" t="s">
        <v>128</v>
      </c>
      <c r="D138" s="165">
        <v>12</v>
      </c>
    </row>
    <row r="139" spans="1:4" x14ac:dyDescent="0.25">
      <c r="A139" s="62"/>
      <c r="B139" s="62"/>
      <c r="C139" s="111" t="s">
        <v>125</v>
      </c>
      <c r="D139" s="166">
        <f>D138*D137</f>
        <v>140968.14329350297</v>
      </c>
    </row>
  </sheetData>
  <mergeCells count="62">
    <mergeCell ref="B12:C12"/>
    <mergeCell ref="B11:C11"/>
    <mergeCell ref="B10:C10"/>
    <mergeCell ref="B8:C8"/>
    <mergeCell ref="A6:D6"/>
    <mergeCell ref="A113:D113"/>
    <mergeCell ref="A114:D114"/>
    <mergeCell ref="A124:D124"/>
    <mergeCell ref="B127:C127"/>
    <mergeCell ref="B128:C128"/>
    <mergeCell ref="A134:C134"/>
    <mergeCell ref="B129:C129"/>
    <mergeCell ref="B130:C130"/>
    <mergeCell ref="B131:C131"/>
    <mergeCell ref="A132:C132"/>
    <mergeCell ref="B133:C133"/>
    <mergeCell ref="A87:D87"/>
    <mergeCell ref="A97:D97"/>
    <mergeCell ref="A102:D102"/>
    <mergeCell ref="A108:D108"/>
    <mergeCell ref="A66:C66"/>
    <mergeCell ref="A68:D68"/>
    <mergeCell ref="A76:C76"/>
    <mergeCell ref="A78:D78"/>
    <mergeCell ref="A84:C84"/>
    <mergeCell ref="A86:D86"/>
    <mergeCell ref="A61:D61"/>
    <mergeCell ref="B62:C62"/>
    <mergeCell ref="B63:C63"/>
    <mergeCell ref="B64:C64"/>
    <mergeCell ref="B65:C65"/>
    <mergeCell ref="A49:D49"/>
    <mergeCell ref="A50:D50"/>
    <mergeCell ref="B51:C51"/>
    <mergeCell ref="A59:C59"/>
    <mergeCell ref="A60:D60"/>
    <mergeCell ref="A34:B34"/>
    <mergeCell ref="A35:B35"/>
    <mergeCell ref="A36:C36"/>
    <mergeCell ref="A37:D37"/>
    <mergeCell ref="A38:D38"/>
    <mergeCell ref="B24:C24"/>
    <mergeCell ref="A27:C27"/>
    <mergeCell ref="A29:D29"/>
    <mergeCell ref="A30:D30"/>
    <mergeCell ref="B31:C31"/>
    <mergeCell ref="A23:D23"/>
    <mergeCell ref="B20:C20"/>
    <mergeCell ref="A1:D1"/>
    <mergeCell ref="B9:C9"/>
    <mergeCell ref="A18:D18"/>
    <mergeCell ref="A17:D17"/>
    <mergeCell ref="B21:C21"/>
    <mergeCell ref="A13:D13"/>
    <mergeCell ref="A14:D14"/>
    <mergeCell ref="A15:C15"/>
    <mergeCell ref="A16:C16"/>
    <mergeCell ref="B19:C19"/>
    <mergeCell ref="A4:C4"/>
    <mergeCell ref="A3:D3"/>
    <mergeCell ref="A2:D2"/>
    <mergeCell ref="B7:C7"/>
  </mergeCells>
  <pageMargins left="0.25" right="0.25" top="0.75" bottom="0.75" header="0.3" footer="0.3"/>
  <pageSetup paperSize="9" scale="95"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1408-B0BF-4031-8161-A6F91CDC0890}">
  <dimension ref="A1:E139"/>
  <sheetViews>
    <sheetView workbookViewId="0">
      <selection activeCell="A2" sqref="A2:D2"/>
    </sheetView>
  </sheetViews>
  <sheetFormatPr defaultRowHeight="12.75" x14ac:dyDescent="0.25"/>
  <cols>
    <col min="1" max="1" width="5" style="148" bestFit="1" customWidth="1"/>
    <col min="2" max="2" width="58.7109375" style="148" customWidth="1"/>
    <col min="3" max="3" width="16.28515625" style="148" customWidth="1"/>
    <col min="4" max="4" width="18.7109375" style="148" customWidth="1"/>
    <col min="5" max="5" width="9.140625" style="62"/>
    <col min="6" max="16384" width="9.140625" style="148"/>
  </cols>
  <sheetData>
    <row r="1" spans="1:4" x14ac:dyDescent="0.25">
      <c r="A1" s="314" t="s">
        <v>296</v>
      </c>
      <c r="B1" s="314"/>
      <c r="C1" s="314"/>
      <c r="D1" s="314"/>
    </row>
    <row r="2" spans="1:4" x14ac:dyDescent="0.25">
      <c r="A2" s="315"/>
      <c r="B2" s="314"/>
      <c r="C2" s="314"/>
      <c r="D2" s="316"/>
    </row>
    <row r="3" spans="1:4" ht="13.5" thickBot="1" x14ac:dyDescent="0.3">
      <c r="A3" s="317" t="s">
        <v>30</v>
      </c>
      <c r="B3" s="317"/>
      <c r="C3" s="317"/>
      <c r="D3" s="317"/>
    </row>
    <row r="4" spans="1:4" x14ac:dyDescent="0.25">
      <c r="A4" s="341" t="s">
        <v>31</v>
      </c>
      <c r="B4" s="342"/>
      <c r="C4" s="342"/>
      <c r="D4" s="105"/>
    </row>
    <row r="5" spans="1:4" x14ac:dyDescent="0.25">
      <c r="A5" s="106"/>
      <c r="B5" s="107"/>
      <c r="C5" s="107"/>
      <c r="D5" s="107"/>
    </row>
    <row r="6" spans="1:4" ht="13.5" thickBot="1" x14ac:dyDescent="0.3">
      <c r="A6" s="320" t="s">
        <v>32</v>
      </c>
      <c r="B6" s="320"/>
      <c r="C6" s="320"/>
      <c r="D6" s="320"/>
    </row>
    <row r="7" spans="1:4" x14ac:dyDescent="0.25">
      <c r="A7" s="108" t="s">
        <v>33</v>
      </c>
      <c r="B7" s="340" t="s">
        <v>34</v>
      </c>
      <c r="C7" s="340"/>
      <c r="D7" s="109"/>
    </row>
    <row r="8" spans="1:4" x14ac:dyDescent="0.25">
      <c r="A8" s="110" t="s">
        <v>35</v>
      </c>
      <c r="B8" s="329" t="s">
        <v>36</v>
      </c>
      <c r="C8" s="329"/>
      <c r="D8" s="111" t="s">
        <v>37</v>
      </c>
    </row>
    <row r="9" spans="1:4" x14ac:dyDescent="0.25">
      <c r="A9" s="112" t="s">
        <v>38</v>
      </c>
      <c r="B9" s="277" t="s">
        <v>39</v>
      </c>
      <c r="C9" s="277"/>
      <c r="D9" s="184" t="s">
        <v>247</v>
      </c>
    </row>
    <row r="10" spans="1:4" x14ac:dyDescent="0.25">
      <c r="A10" s="112" t="s">
        <v>57</v>
      </c>
      <c r="B10" s="273" t="s">
        <v>196</v>
      </c>
      <c r="C10" s="275"/>
      <c r="D10" s="111" t="s">
        <v>149</v>
      </c>
    </row>
    <row r="11" spans="1:4" x14ac:dyDescent="0.25">
      <c r="A11" s="112" t="s">
        <v>41</v>
      </c>
      <c r="B11" s="277" t="s">
        <v>40</v>
      </c>
      <c r="C11" s="277"/>
      <c r="D11" s="169">
        <v>45679</v>
      </c>
    </row>
    <row r="12" spans="1:4" x14ac:dyDescent="0.25">
      <c r="A12" s="112" t="s">
        <v>42</v>
      </c>
      <c r="B12" s="277" t="s">
        <v>45</v>
      </c>
      <c r="C12" s="277"/>
      <c r="D12" s="111" t="s">
        <v>46</v>
      </c>
    </row>
    <row r="13" spans="1:4" x14ac:dyDescent="0.25">
      <c r="A13" s="277"/>
      <c r="B13" s="277"/>
      <c r="C13" s="277"/>
      <c r="D13" s="277"/>
    </row>
    <row r="14" spans="1:4" ht="13.5" thickBot="1" x14ac:dyDescent="0.3">
      <c r="A14" s="276" t="s">
        <v>47</v>
      </c>
      <c r="B14" s="276"/>
      <c r="C14" s="276"/>
      <c r="D14" s="276"/>
    </row>
    <row r="15" spans="1:4" x14ac:dyDescent="0.25">
      <c r="A15" s="277" t="s">
        <v>48</v>
      </c>
      <c r="B15" s="277"/>
      <c r="C15" s="277"/>
      <c r="D15" s="112" t="s">
        <v>228</v>
      </c>
    </row>
    <row r="16" spans="1:4" x14ac:dyDescent="0.25">
      <c r="A16" s="277" t="s">
        <v>150</v>
      </c>
      <c r="B16" s="277"/>
      <c r="C16" s="277"/>
      <c r="D16" s="111" t="s">
        <v>217</v>
      </c>
    </row>
    <row r="17" spans="1:4" x14ac:dyDescent="0.25">
      <c r="A17" s="274"/>
      <c r="B17" s="274"/>
      <c r="C17" s="274"/>
      <c r="D17" s="275"/>
    </row>
    <row r="18" spans="1:4" ht="13.5" thickBot="1" x14ac:dyDescent="0.3">
      <c r="A18" s="276" t="s">
        <v>49</v>
      </c>
      <c r="B18" s="276"/>
      <c r="C18" s="276"/>
      <c r="D18" s="276"/>
    </row>
    <row r="19" spans="1:4" x14ac:dyDescent="0.25">
      <c r="A19" s="110">
        <v>3</v>
      </c>
      <c r="B19" s="278" t="s">
        <v>50</v>
      </c>
      <c r="C19" s="279"/>
      <c r="D19" s="113">
        <v>1707.33</v>
      </c>
    </row>
    <row r="20" spans="1:4" ht="25.5" x14ac:dyDescent="0.25">
      <c r="A20" s="112">
        <v>4</v>
      </c>
      <c r="B20" s="277" t="s">
        <v>51</v>
      </c>
      <c r="C20" s="277"/>
      <c r="D20" s="112" t="s">
        <v>307</v>
      </c>
    </row>
    <row r="21" spans="1:4" x14ac:dyDescent="0.25">
      <c r="A21" s="112">
        <v>6</v>
      </c>
      <c r="B21" s="277" t="s">
        <v>52</v>
      </c>
      <c r="C21" s="277"/>
      <c r="D21" s="113">
        <v>1518</v>
      </c>
    </row>
    <row r="22" spans="1:4" ht="13.5" thickBot="1" x14ac:dyDescent="0.3">
      <c r="A22" s="62"/>
      <c r="B22" s="62"/>
      <c r="C22" s="62"/>
      <c r="D22" s="62"/>
    </row>
    <row r="23" spans="1:4" ht="13.5" thickBot="1" x14ac:dyDescent="0.3">
      <c r="A23" s="280" t="s">
        <v>53</v>
      </c>
      <c r="B23" s="280"/>
      <c r="C23" s="280"/>
      <c r="D23" s="280"/>
    </row>
    <row r="24" spans="1:4" x14ac:dyDescent="0.25">
      <c r="A24" s="114">
        <v>1</v>
      </c>
      <c r="B24" s="284" t="s">
        <v>55</v>
      </c>
      <c r="C24" s="284"/>
      <c r="D24" s="114" t="s">
        <v>56</v>
      </c>
    </row>
    <row r="25" spans="1:4" x14ac:dyDescent="0.25">
      <c r="A25" s="110" t="s">
        <v>33</v>
      </c>
      <c r="B25" s="110" t="s">
        <v>191</v>
      </c>
      <c r="C25" s="110"/>
      <c r="D25" s="116">
        <f>D19</f>
        <v>1707.33</v>
      </c>
    </row>
    <row r="26" spans="1:4" x14ac:dyDescent="0.25">
      <c r="A26" s="110" t="s">
        <v>35</v>
      </c>
      <c r="B26" s="110" t="s">
        <v>151</v>
      </c>
      <c r="C26" s="110"/>
      <c r="D26" s="116">
        <f>D25*0.2</f>
        <v>341.46600000000001</v>
      </c>
    </row>
    <row r="27" spans="1:4" x14ac:dyDescent="0.25">
      <c r="A27" s="284" t="s">
        <v>58</v>
      </c>
      <c r="B27" s="284"/>
      <c r="C27" s="284"/>
      <c r="D27" s="117">
        <f>SUM(D25:D26)</f>
        <v>2048.7959999999998</v>
      </c>
    </row>
    <row r="28" spans="1:4" ht="13.5" thickBot="1" x14ac:dyDescent="0.3">
      <c r="A28" s="62" t="s">
        <v>54</v>
      </c>
      <c r="B28" s="62"/>
      <c r="C28" s="62"/>
      <c r="D28" s="62"/>
    </row>
    <row r="29" spans="1:4" ht="13.5" thickBot="1" x14ac:dyDescent="0.3">
      <c r="A29" s="280" t="s">
        <v>59</v>
      </c>
      <c r="B29" s="280"/>
      <c r="C29" s="280"/>
      <c r="D29" s="280"/>
    </row>
    <row r="30" spans="1:4" x14ac:dyDescent="0.25">
      <c r="A30" s="312" t="s">
        <v>60</v>
      </c>
      <c r="B30" s="312"/>
      <c r="C30" s="312"/>
      <c r="D30" s="312"/>
    </row>
    <row r="31" spans="1:4" x14ac:dyDescent="0.25">
      <c r="A31" s="114" t="s">
        <v>61</v>
      </c>
      <c r="B31" s="284" t="s">
        <v>62</v>
      </c>
      <c r="C31" s="284"/>
      <c r="D31" s="114" t="s">
        <v>56</v>
      </c>
    </row>
    <row r="32" spans="1:4" x14ac:dyDescent="0.25">
      <c r="A32" s="111" t="s">
        <v>33</v>
      </c>
      <c r="B32" s="111" t="s">
        <v>63</v>
      </c>
      <c r="C32" s="118">
        <v>8.3299999999999999E-2</v>
      </c>
      <c r="D32" s="119">
        <f>C32*D27</f>
        <v>170.66470679999998</v>
      </c>
    </row>
    <row r="33" spans="1:4" x14ac:dyDescent="0.25">
      <c r="A33" s="111" t="s">
        <v>35</v>
      </c>
      <c r="B33" s="111" t="s">
        <v>64</v>
      </c>
      <c r="C33" s="118">
        <v>2.7799999999999998E-2</v>
      </c>
      <c r="D33" s="119">
        <f>SUM(D27*C33)</f>
        <v>56.956528799999994</v>
      </c>
    </row>
    <row r="34" spans="1:4" x14ac:dyDescent="0.25">
      <c r="A34" s="305" t="s">
        <v>131</v>
      </c>
      <c r="B34" s="306"/>
      <c r="C34" s="120">
        <f>SUM(C32+C33)</f>
        <v>0.1111</v>
      </c>
      <c r="D34" s="121">
        <f>SUM(D32:D33)</f>
        <v>227.62123559999998</v>
      </c>
    </row>
    <row r="35" spans="1:4" x14ac:dyDescent="0.25">
      <c r="A35" s="313" t="s">
        <v>130</v>
      </c>
      <c r="B35" s="293"/>
      <c r="C35" s="123">
        <f>SUM(C40:C47)</f>
        <v>0.36800000000000005</v>
      </c>
      <c r="D35" s="119">
        <f>SUM(D34*C35)</f>
        <v>83.76461470080001</v>
      </c>
    </row>
    <row r="36" spans="1:4" x14ac:dyDescent="0.25">
      <c r="A36" s="307" t="s">
        <v>58</v>
      </c>
      <c r="B36" s="308"/>
      <c r="C36" s="309"/>
      <c r="D36" s="124">
        <f>SUM(D34+D35)</f>
        <v>311.38585030079997</v>
      </c>
    </row>
    <row r="37" spans="1:4" x14ac:dyDescent="0.25">
      <c r="A37" s="304"/>
      <c r="B37" s="304"/>
      <c r="C37" s="304"/>
      <c r="D37" s="304"/>
    </row>
    <row r="38" spans="1:4" x14ac:dyDescent="0.25">
      <c r="A38" s="296" t="s">
        <v>65</v>
      </c>
      <c r="B38" s="296"/>
      <c r="C38" s="296"/>
      <c r="D38" s="296"/>
    </row>
    <row r="39" spans="1:4" x14ac:dyDescent="0.25">
      <c r="A39" s="126" t="s">
        <v>66</v>
      </c>
      <c r="B39" s="126" t="s">
        <v>67</v>
      </c>
      <c r="C39" s="126" t="s">
        <v>68</v>
      </c>
      <c r="D39" s="126" t="s">
        <v>56</v>
      </c>
    </row>
    <row r="40" spans="1:4" x14ac:dyDescent="0.25">
      <c r="A40" s="127" t="s">
        <v>33</v>
      </c>
      <c r="B40" s="127" t="s">
        <v>69</v>
      </c>
      <c r="C40" s="123">
        <v>0.2</v>
      </c>
      <c r="D40" s="116">
        <f>D27*C40</f>
        <v>409.75919999999996</v>
      </c>
    </row>
    <row r="41" spans="1:4" x14ac:dyDescent="0.25">
      <c r="A41" s="127" t="s">
        <v>35</v>
      </c>
      <c r="B41" s="127" t="s">
        <v>70</v>
      </c>
      <c r="C41" s="123">
        <v>2.5000000000000001E-2</v>
      </c>
      <c r="D41" s="116">
        <f>D27*C41</f>
        <v>51.219899999999996</v>
      </c>
    </row>
    <row r="42" spans="1:4" x14ac:dyDescent="0.25">
      <c r="A42" s="127" t="s">
        <v>38</v>
      </c>
      <c r="B42" s="128" t="s">
        <v>71</v>
      </c>
      <c r="C42" s="129">
        <v>0.03</v>
      </c>
      <c r="D42" s="116">
        <f>D27*C42</f>
        <v>61.463879999999989</v>
      </c>
    </row>
    <row r="43" spans="1:4" x14ac:dyDescent="0.25">
      <c r="A43" s="127" t="s">
        <v>57</v>
      </c>
      <c r="B43" s="127" t="s">
        <v>72</v>
      </c>
      <c r="C43" s="123">
        <v>1.4999999999999999E-2</v>
      </c>
      <c r="D43" s="116">
        <f>D27*C43</f>
        <v>30.731939999999994</v>
      </c>
    </row>
    <row r="44" spans="1:4" x14ac:dyDescent="0.25">
      <c r="A44" s="127" t="s">
        <v>41</v>
      </c>
      <c r="B44" s="127" t="s">
        <v>73</v>
      </c>
      <c r="C44" s="123">
        <v>0.01</v>
      </c>
      <c r="D44" s="116">
        <f>D27*C44</f>
        <v>20.487959999999998</v>
      </c>
    </row>
    <row r="45" spans="1:4" x14ac:dyDescent="0.25">
      <c r="A45" s="127" t="s">
        <v>42</v>
      </c>
      <c r="B45" s="127" t="s">
        <v>74</v>
      </c>
      <c r="C45" s="123">
        <v>6.0000000000000001E-3</v>
      </c>
      <c r="D45" s="116">
        <f>D27*C45</f>
        <v>12.292776</v>
      </c>
    </row>
    <row r="46" spans="1:4" x14ac:dyDescent="0.25">
      <c r="A46" s="127" t="s">
        <v>43</v>
      </c>
      <c r="B46" s="127" t="s">
        <v>75</v>
      </c>
      <c r="C46" s="123">
        <v>2E-3</v>
      </c>
      <c r="D46" s="116">
        <f>D27*C46</f>
        <v>4.0975919999999997</v>
      </c>
    </row>
    <row r="47" spans="1:4" x14ac:dyDescent="0.25">
      <c r="A47" s="127" t="s">
        <v>44</v>
      </c>
      <c r="B47" s="127" t="s">
        <v>76</v>
      </c>
      <c r="C47" s="123">
        <v>0.08</v>
      </c>
      <c r="D47" s="116">
        <f>D27*C47</f>
        <v>163.90367999999998</v>
      </c>
    </row>
    <row r="48" spans="1:4" x14ac:dyDescent="0.25">
      <c r="A48" s="127"/>
      <c r="B48" s="126" t="s">
        <v>58</v>
      </c>
      <c r="C48" s="123">
        <f>SUM(C40:C47)</f>
        <v>0.36800000000000005</v>
      </c>
      <c r="D48" s="117">
        <f>SUM(D40:D47)</f>
        <v>753.95692799999995</v>
      </c>
    </row>
    <row r="49" spans="1:4" x14ac:dyDescent="0.25">
      <c r="A49" s="304"/>
      <c r="B49" s="304"/>
      <c r="C49" s="304"/>
      <c r="D49" s="304"/>
    </row>
    <row r="50" spans="1:4" x14ac:dyDescent="0.25">
      <c r="A50" s="296" t="s">
        <v>77</v>
      </c>
      <c r="B50" s="296"/>
      <c r="C50" s="296"/>
      <c r="D50" s="296"/>
    </row>
    <row r="51" spans="1:4" x14ac:dyDescent="0.25">
      <c r="A51" s="114" t="s">
        <v>78</v>
      </c>
      <c r="B51" s="284" t="s">
        <v>79</v>
      </c>
      <c r="C51" s="284"/>
      <c r="D51" s="114" t="s">
        <v>56</v>
      </c>
    </row>
    <row r="52" spans="1:4" x14ac:dyDescent="0.25">
      <c r="A52" s="110" t="s">
        <v>33</v>
      </c>
      <c r="B52" s="110" t="s">
        <v>140</v>
      </c>
      <c r="C52" s="130">
        <v>5.15</v>
      </c>
      <c r="D52" s="119">
        <f>(2*5.15*15.2) - (D25*6%)</f>
        <v>54.120200000000011</v>
      </c>
    </row>
    <row r="53" spans="1:4" x14ac:dyDescent="0.25">
      <c r="A53" s="110" t="s">
        <v>35</v>
      </c>
      <c r="B53" s="132" t="s">
        <v>146</v>
      </c>
      <c r="C53" s="133">
        <v>27.29</v>
      </c>
      <c r="D53" s="134">
        <f>27.29*15.2*99%</f>
        <v>410.65992</v>
      </c>
    </row>
    <row r="54" spans="1:4" x14ac:dyDescent="0.25">
      <c r="A54" s="110" t="s">
        <v>38</v>
      </c>
      <c r="B54" s="110" t="s">
        <v>142</v>
      </c>
      <c r="C54" s="130"/>
      <c r="D54" s="119">
        <v>11</v>
      </c>
    </row>
    <row r="55" spans="1:4" x14ac:dyDescent="0.25">
      <c r="A55" s="110" t="s">
        <v>57</v>
      </c>
      <c r="B55" s="110" t="s">
        <v>147</v>
      </c>
      <c r="C55" s="135"/>
      <c r="D55" s="136">
        <f>SUM(D27*7%)</f>
        <v>143.41571999999999</v>
      </c>
    </row>
    <row r="56" spans="1:4" x14ac:dyDescent="0.25">
      <c r="A56" s="110" t="s">
        <v>41</v>
      </c>
      <c r="B56" s="110" t="s">
        <v>144</v>
      </c>
      <c r="C56" s="135"/>
      <c r="D56" s="136">
        <v>0</v>
      </c>
    </row>
    <row r="57" spans="1:4" x14ac:dyDescent="0.25">
      <c r="A57" s="110" t="s">
        <v>42</v>
      </c>
      <c r="B57" s="110" t="s">
        <v>143</v>
      </c>
      <c r="C57" s="135"/>
      <c r="D57" s="136">
        <v>10.46</v>
      </c>
    </row>
    <row r="58" spans="1:4" x14ac:dyDescent="0.25">
      <c r="A58" s="110" t="s">
        <v>43</v>
      </c>
      <c r="B58" s="110" t="s">
        <v>145</v>
      </c>
      <c r="C58" s="135">
        <v>0.01</v>
      </c>
      <c r="D58" s="136">
        <f>D27*1/100</f>
        <v>20.487959999999998</v>
      </c>
    </row>
    <row r="59" spans="1:4" x14ac:dyDescent="0.25">
      <c r="A59" s="284" t="s">
        <v>58</v>
      </c>
      <c r="B59" s="284"/>
      <c r="C59" s="284"/>
      <c r="D59" s="121">
        <f>SUM(D52:D58)</f>
        <v>650.14380000000006</v>
      </c>
    </row>
    <row r="60" spans="1:4" x14ac:dyDescent="0.25">
      <c r="A60" s="304"/>
      <c r="B60" s="304"/>
      <c r="C60" s="304"/>
      <c r="D60" s="304"/>
    </row>
    <row r="61" spans="1:4" x14ac:dyDescent="0.25">
      <c r="A61" s="296" t="s">
        <v>80</v>
      </c>
      <c r="B61" s="296"/>
      <c r="C61" s="296"/>
      <c r="D61" s="296"/>
    </row>
    <row r="62" spans="1:4" x14ac:dyDescent="0.25">
      <c r="A62" s="114">
        <v>2</v>
      </c>
      <c r="B62" s="284" t="s">
        <v>81</v>
      </c>
      <c r="C62" s="284"/>
      <c r="D62" s="114" t="s">
        <v>56</v>
      </c>
    </row>
    <row r="63" spans="1:4" x14ac:dyDescent="0.25">
      <c r="A63" s="110" t="s">
        <v>61</v>
      </c>
      <c r="B63" s="297" t="s">
        <v>82</v>
      </c>
      <c r="C63" s="297"/>
      <c r="D63" s="116">
        <f>D36</f>
        <v>311.38585030079997</v>
      </c>
    </row>
    <row r="64" spans="1:4" x14ac:dyDescent="0.25">
      <c r="A64" s="110" t="s">
        <v>66</v>
      </c>
      <c r="B64" s="297" t="s">
        <v>67</v>
      </c>
      <c r="C64" s="297"/>
      <c r="D64" s="116">
        <f>D48</f>
        <v>753.95692799999995</v>
      </c>
    </row>
    <row r="65" spans="1:4" x14ac:dyDescent="0.25">
      <c r="A65" s="110" t="s">
        <v>78</v>
      </c>
      <c r="B65" s="297" t="s">
        <v>79</v>
      </c>
      <c r="C65" s="297"/>
      <c r="D65" s="116">
        <f>D59</f>
        <v>650.14380000000006</v>
      </c>
    </row>
    <row r="66" spans="1:4" x14ac:dyDescent="0.25">
      <c r="A66" s="284" t="s">
        <v>58</v>
      </c>
      <c r="B66" s="284"/>
      <c r="C66" s="284"/>
      <c r="D66" s="117">
        <f>SUM(D63:D65)</f>
        <v>1715.4865783007999</v>
      </c>
    </row>
    <row r="67" spans="1:4" x14ac:dyDescent="0.25">
      <c r="A67" s="137"/>
      <c r="B67" s="137"/>
      <c r="C67" s="137"/>
      <c r="D67" s="138"/>
    </row>
    <row r="68" spans="1:4" x14ac:dyDescent="0.25">
      <c r="A68" s="294" t="s">
        <v>137</v>
      </c>
      <c r="B68" s="294"/>
      <c r="C68" s="294"/>
      <c r="D68" s="294"/>
    </row>
    <row r="69" spans="1:4" x14ac:dyDescent="0.25">
      <c r="A69" s="122">
        <v>3</v>
      </c>
      <c r="B69" s="114" t="s">
        <v>83</v>
      </c>
      <c r="C69" s="114" t="s">
        <v>84</v>
      </c>
      <c r="D69" s="114" t="s">
        <v>56</v>
      </c>
    </row>
    <row r="70" spans="1:4" x14ac:dyDescent="0.25">
      <c r="A70" s="111" t="s">
        <v>33</v>
      </c>
      <c r="B70" s="111" t="s">
        <v>85</v>
      </c>
      <c r="C70" s="139">
        <v>4.1700000000000001E-3</v>
      </c>
      <c r="D70" s="140">
        <f>D27*C70</f>
        <v>8.5434793199999994</v>
      </c>
    </row>
    <row r="71" spans="1:4" x14ac:dyDescent="0.25">
      <c r="A71" s="111" t="s">
        <v>35</v>
      </c>
      <c r="B71" s="111" t="s">
        <v>86</v>
      </c>
      <c r="C71" s="141">
        <v>3.3399999999999999E-4</v>
      </c>
      <c r="D71" s="142">
        <f>D27*C71</f>
        <v>0.68429786399999992</v>
      </c>
    </row>
    <row r="72" spans="1:4" x14ac:dyDescent="0.25">
      <c r="A72" s="63" t="s">
        <v>38</v>
      </c>
      <c r="B72" s="63" t="s">
        <v>87</v>
      </c>
      <c r="C72" s="143">
        <v>1.6000000000000001E-3</v>
      </c>
      <c r="D72" s="144">
        <f>SUM(D27+D34)*C72</f>
        <v>3.6422675769600001</v>
      </c>
    </row>
    <row r="73" spans="1:4" x14ac:dyDescent="0.25">
      <c r="A73" s="111" t="s">
        <v>57</v>
      </c>
      <c r="B73" s="111" t="s">
        <v>88</v>
      </c>
      <c r="C73" s="145">
        <v>1.84E-2</v>
      </c>
      <c r="D73" s="140">
        <f>D27*C73</f>
        <v>37.697846399999996</v>
      </c>
    </row>
    <row r="74" spans="1:4" ht="25.5" x14ac:dyDescent="0.25">
      <c r="A74" s="110" t="s">
        <v>41</v>
      </c>
      <c r="B74" s="110" t="s">
        <v>89</v>
      </c>
      <c r="C74" s="146">
        <v>5.4000000000000003E-3</v>
      </c>
      <c r="D74" s="147">
        <f>D27*C74</f>
        <v>11.0634984</v>
      </c>
    </row>
    <row r="75" spans="1:4" x14ac:dyDescent="0.25">
      <c r="A75" s="63" t="s">
        <v>42</v>
      </c>
      <c r="B75" s="63" t="s">
        <v>90</v>
      </c>
      <c r="C75" s="143">
        <v>3.04E-2</v>
      </c>
      <c r="D75" s="144">
        <f>(D27+D34)*C75</f>
        <v>69.203083962240001</v>
      </c>
    </row>
    <row r="76" spans="1:4" x14ac:dyDescent="0.25">
      <c r="A76" s="293" t="s">
        <v>58</v>
      </c>
      <c r="B76" s="293"/>
      <c r="C76" s="293"/>
      <c r="D76" s="121">
        <f>SUM(D70:D75)</f>
        <v>130.83447352319999</v>
      </c>
    </row>
    <row r="77" spans="1:4" x14ac:dyDescent="0.25">
      <c r="D77" s="149"/>
    </row>
    <row r="78" spans="1:4" x14ac:dyDescent="0.25">
      <c r="A78" s="295" t="s">
        <v>132</v>
      </c>
      <c r="B78" s="295"/>
      <c r="C78" s="295"/>
      <c r="D78" s="295"/>
    </row>
    <row r="79" spans="1:4" x14ac:dyDescent="0.25">
      <c r="A79" s="111" t="s">
        <v>33</v>
      </c>
      <c r="B79" s="111" t="s">
        <v>133</v>
      </c>
      <c r="C79" s="122"/>
      <c r="D79" s="121">
        <f>D27</f>
        <v>2048.7959999999998</v>
      </c>
    </row>
    <row r="80" spans="1:4" x14ac:dyDescent="0.25">
      <c r="A80" s="111" t="s">
        <v>35</v>
      </c>
      <c r="B80" s="111" t="s">
        <v>117</v>
      </c>
      <c r="C80" s="122"/>
      <c r="D80" s="121">
        <f>D66</f>
        <v>1715.4865783007999</v>
      </c>
    </row>
    <row r="81" spans="1:4" x14ac:dyDescent="0.25">
      <c r="A81" s="63" t="s">
        <v>38</v>
      </c>
      <c r="B81" s="63" t="s">
        <v>134</v>
      </c>
      <c r="C81" s="150">
        <f>D79/12</f>
        <v>170.73299999999998</v>
      </c>
      <c r="D81" s="150">
        <f>C81*C48+C81</f>
        <v>233.56274399999998</v>
      </c>
    </row>
    <row r="82" spans="1:4" x14ac:dyDescent="0.25">
      <c r="A82" s="111" t="s">
        <v>57</v>
      </c>
      <c r="B82" s="111" t="s">
        <v>118</v>
      </c>
      <c r="C82" s="122"/>
      <c r="D82" s="121">
        <f>D76</f>
        <v>130.83447352319999</v>
      </c>
    </row>
    <row r="83" spans="1:4" x14ac:dyDescent="0.25">
      <c r="A83" s="111" t="s">
        <v>41</v>
      </c>
      <c r="B83" s="111" t="s">
        <v>135</v>
      </c>
      <c r="C83" s="122"/>
      <c r="D83" s="168">
        <f>-(D52+D53)</f>
        <v>-464.78012000000001</v>
      </c>
    </row>
    <row r="84" spans="1:4" x14ac:dyDescent="0.25">
      <c r="A84" s="293" t="s">
        <v>136</v>
      </c>
      <c r="B84" s="293"/>
      <c r="C84" s="293"/>
      <c r="D84" s="121">
        <f>SUM(D79:D83)</f>
        <v>3663.8996758239996</v>
      </c>
    </row>
    <row r="85" spans="1:4" ht="13.5" thickBot="1" x14ac:dyDescent="0.3"/>
    <row r="86" spans="1:4" ht="13.5" thickBot="1" x14ac:dyDescent="0.3">
      <c r="A86" s="280" t="s">
        <v>91</v>
      </c>
      <c r="B86" s="280"/>
      <c r="C86" s="280"/>
      <c r="D86" s="280"/>
    </row>
    <row r="87" spans="1:4" x14ac:dyDescent="0.25">
      <c r="A87" s="296" t="s">
        <v>92</v>
      </c>
      <c r="B87" s="296"/>
      <c r="C87" s="296"/>
      <c r="D87" s="296"/>
    </row>
    <row r="88" spans="1:4" x14ac:dyDescent="0.25">
      <c r="A88" s="114" t="s">
        <v>93</v>
      </c>
      <c r="B88" s="114" t="s">
        <v>94</v>
      </c>
      <c r="C88" s="114" t="s">
        <v>84</v>
      </c>
      <c r="D88" s="114" t="s">
        <v>56</v>
      </c>
    </row>
    <row r="89" spans="1:4" x14ac:dyDescent="0.25">
      <c r="A89" s="111" t="s">
        <v>33</v>
      </c>
      <c r="B89" s="110" t="s">
        <v>95</v>
      </c>
      <c r="C89" s="123">
        <v>8.3299999999999999E-2</v>
      </c>
      <c r="D89" s="119">
        <f>D84*C89</f>
        <v>305.20284299613917</v>
      </c>
    </row>
    <row r="90" spans="1:4" x14ac:dyDescent="0.25">
      <c r="A90" s="111" t="s">
        <v>35</v>
      </c>
      <c r="B90" s="110" t="s">
        <v>138</v>
      </c>
      <c r="C90" s="151">
        <v>2.2200000000000002E-3</v>
      </c>
      <c r="D90" s="119">
        <f>D84*C90</f>
        <v>8.1338572803292806</v>
      </c>
    </row>
    <row r="91" spans="1:4" x14ac:dyDescent="0.25">
      <c r="A91" s="111" t="s">
        <v>38</v>
      </c>
      <c r="B91" s="110" t="s">
        <v>96</v>
      </c>
      <c r="C91" s="151">
        <v>2.0000000000000001E-4</v>
      </c>
      <c r="D91" s="119">
        <f>D84*C91</f>
        <v>0.7327799351648</v>
      </c>
    </row>
    <row r="92" spans="1:4" x14ac:dyDescent="0.25">
      <c r="A92" s="111" t="s">
        <v>57</v>
      </c>
      <c r="B92" s="110" t="s">
        <v>97</v>
      </c>
      <c r="C92" s="151">
        <v>2.7999999999999998E-4</v>
      </c>
      <c r="D92" s="119">
        <f>D84*C92</f>
        <v>1.0258919092307197</v>
      </c>
    </row>
    <row r="93" spans="1:4" x14ac:dyDescent="0.25">
      <c r="A93" s="111"/>
      <c r="B93" s="110" t="s">
        <v>139</v>
      </c>
      <c r="C93" s="151">
        <v>3.5999999999999999E-3</v>
      </c>
      <c r="D93" s="119">
        <f>D84*C93</f>
        <v>13.190038832966398</v>
      </c>
    </row>
    <row r="94" spans="1:4" x14ac:dyDescent="0.25">
      <c r="A94" s="111" t="s">
        <v>41</v>
      </c>
      <c r="B94" s="110" t="s">
        <v>98</v>
      </c>
      <c r="C94" s="151">
        <v>3.8999999999999999E-4</v>
      </c>
      <c r="D94" s="119">
        <f>D84*C94</f>
        <v>1.4289208735713599</v>
      </c>
    </row>
    <row r="95" spans="1:4" x14ac:dyDescent="0.25">
      <c r="A95" s="111" t="s">
        <v>42</v>
      </c>
      <c r="B95" s="110" t="s">
        <v>126</v>
      </c>
      <c r="C95" s="146"/>
      <c r="D95" s="119">
        <f>(($D$27+$D$66+$D$76)-$D$52)*C95</f>
        <v>0</v>
      </c>
    </row>
    <row r="96" spans="1:4" x14ac:dyDescent="0.25">
      <c r="A96" s="122" t="s">
        <v>58</v>
      </c>
      <c r="B96" s="122"/>
      <c r="C96" s="122"/>
      <c r="D96" s="121">
        <f>SUM(D89:D95)</f>
        <v>329.71433182740174</v>
      </c>
    </row>
    <row r="97" spans="1:4" x14ac:dyDescent="0.25">
      <c r="A97" s="290" t="s">
        <v>99</v>
      </c>
      <c r="B97" s="291"/>
      <c r="C97" s="291"/>
      <c r="D97" s="292"/>
    </row>
    <row r="98" spans="1:4" x14ac:dyDescent="0.25">
      <c r="A98" s="122" t="s">
        <v>100</v>
      </c>
      <c r="B98" s="111" t="s">
        <v>101</v>
      </c>
      <c r="C98" s="111"/>
      <c r="D98" s="114" t="s">
        <v>56</v>
      </c>
    </row>
    <row r="99" spans="1:4" x14ac:dyDescent="0.25">
      <c r="A99" s="111" t="s">
        <v>33</v>
      </c>
      <c r="B99" s="111" t="s">
        <v>102</v>
      </c>
      <c r="C99" s="111"/>
      <c r="D99" s="119">
        <v>0</v>
      </c>
    </row>
    <row r="100" spans="1:4" x14ac:dyDescent="0.25">
      <c r="A100" s="122" t="s">
        <v>58</v>
      </c>
      <c r="B100" s="122"/>
      <c r="C100" s="122"/>
      <c r="D100" s="121"/>
    </row>
    <row r="101" spans="1:4" x14ac:dyDescent="0.25">
      <c r="A101" s="125"/>
      <c r="B101" s="125"/>
      <c r="C101" s="125"/>
      <c r="D101" s="125"/>
    </row>
    <row r="102" spans="1:4" x14ac:dyDescent="0.25">
      <c r="A102" s="287" t="s">
        <v>103</v>
      </c>
      <c r="B102" s="288"/>
      <c r="C102" s="288"/>
      <c r="D102" s="289"/>
    </row>
    <row r="103" spans="1:4" x14ac:dyDescent="0.25">
      <c r="A103" s="114">
        <v>4</v>
      </c>
      <c r="B103" s="152" t="s">
        <v>104</v>
      </c>
      <c r="C103" s="153"/>
      <c r="D103" s="114" t="s">
        <v>56</v>
      </c>
    </row>
    <row r="104" spans="1:4" x14ac:dyDescent="0.25">
      <c r="A104" s="110" t="s">
        <v>93</v>
      </c>
      <c r="B104" s="154" t="s">
        <v>94</v>
      </c>
      <c r="C104" s="155"/>
      <c r="D104" s="156">
        <f>D96</f>
        <v>329.71433182740174</v>
      </c>
    </row>
    <row r="105" spans="1:4" x14ac:dyDescent="0.25">
      <c r="A105" s="110" t="s">
        <v>100</v>
      </c>
      <c r="B105" s="154" t="s">
        <v>101</v>
      </c>
      <c r="C105" s="155"/>
      <c r="D105" s="119">
        <f>D100</f>
        <v>0</v>
      </c>
    </row>
    <row r="106" spans="1:4" x14ac:dyDescent="0.25">
      <c r="A106" s="157" t="s">
        <v>58</v>
      </c>
      <c r="B106" s="158"/>
      <c r="C106" s="159"/>
      <c r="D106" s="121">
        <f>SUM(D104:D105)</f>
        <v>329.71433182740174</v>
      </c>
    </row>
    <row r="107" spans="1:4" x14ac:dyDescent="0.25">
      <c r="A107" s="62" t="s">
        <v>54</v>
      </c>
      <c r="B107" s="62"/>
      <c r="C107" s="62"/>
      <c r="D107" s="62"/>
    </row>
    <row r="108" spans="1:4" x14ac:dyDescent="0.25">
      <c r="A108" s="287" t="s">
        <v>105</v>
      </c>
      <c r="B108" s="288"/>
      <c r="C108" s="288"/>
      <c r="D108" s="289"/>
    </row>
    <row r="109" spans="1:4" x14ac:dyDescent="0.25">
      <c r="A109" s="114">
        <v>5</v>
      </c>
      <c r="B109" s="114" t="s">
        <v>106</v>
      </c>
      <c r="C109" s="114"/>
      <c r="D109" s="114" t="s">
        <v>56</v>
      </c>
    </row>
    <row r="110" spans="1:4" x14ac:dyDescent="0.25">
      <c r="A110" s="132" t="s">
        <v>33</v>
      </c>
      <c r="B110" s="160" t="s">
        <v>141</v>
      </c>
      <c r="C110" s="160"/>
      <c r="D110" s="136">
        <v>121.72</v>
      </c>
    </row>
    <row r="111" spans="1:4" x14ac:dyDescent="0.25">
      <c r="A111" s="110" t="s">
        <v>35</v>
      </c>
      <c r="B111" s="110" t="s">
        <v>164</v>
      </c>
      <c r="C111" s="114"/>
      <c r="D111" s="116">
        <v>0</v>
      </c>
    </row>
    <row r="112" spans="1:4" x14ac:dyDescent="0.25">
      <c r="A112" s="114" t="s">
        <v>58</v>
      </c>
      <c r="B112" s="114"/>
      <c r="C112" s="114"/>
      <c r="D112" s="117">
        <f>D110+D111</f>
        <v>121.72</v>
      </c>
    </row>
    <row r="113" spans="1:4" x14ac:dyDescent="0.25">
      <c r="A113" s="301"/>
      <c r="B113" s="301"/>
      <c r="C113" s="301"/>
      <c r="D113" s="301"/>
    </row>
    <row r="114" spans="1:4" x14ac:dyDescent="0.25">
      <c r="A114" s="287" t="s">
        <v>107</v>
      </c>
      <c r="B114" s="288"/>
      <c r="C114" s="288"/>
      <c r="D114" s="289"/>
    </row>
    <row r="115" spans="1:4" x14ac:dyDescent="0.25">
      <c r="A115" s="114">
        <v>6</v>
      </c>
      <c r="B115" s="114" t="s">
        <v>108</v>
      </c>
      <c r="C115" s="114" t="s">
        <v>68</v>
      </c>
      <c r="D115" s="114" t="s">
        <v>56</v>
      </c>
    </row>
    <row r="116" spans="1:4" x14ac:dyDescent="0.25">
      <c r="A116" s="110" t="s">
        <v>33</v>
      </c>
      <c r="B116" s="160" t="s">
        <v>109</v>
      </c>
      <c r="C116" s="161">
        <v>0.05</v>
      </c>
      <c r="D116" s="116">
        <f>C116*D132</f>
        <v>217.3275691825701</v>
      </c>
    </row>
    <row r="117" spans="1:4" x14ac:dyDescent="0.25">
      <c r="A117" s="110" t="s">
        <v>35</v>
      </c>
      <c r="B117" s="160" t="s">
        <v>110</v>
      </c>
      <c r="C117" s="161">
        <v>0.1</v>
      </c>
      <c r="D117" s="116">
        <f>C117*(D116+D132)</f>
        <v>456.38789528339726</v>
      </c>
    </row>
    <row r="118" spans="1:4" x14ac:dyDescent="0.25">
      <c r="A118" s="110" t="s">
        <v>38</v>
      </c>
      <c r="B118" s="160" t="s">
        <v>111</v>
      </c>
      <c r="C118" s="162">
        <v>6.1499999999999999E-2</v>
      </c>
      <c r="D118" s="116">
        <f>(D27+D66+D76+D106+D111+D116+D117)*(C119+C120+C121)/(1-(C119+C120+C121))</f>
        <v>321.00227081429756</v>
      </c>
    </row>
    <row r="119" spans="1:4" x14ac:dyDescent="0.25">
      <c r="A119" s="110"/>
      <c r="B119" s="132" t="s">
        <v>112</v>
      </c>
      <c r="C119" s="162">
        <v>6.4999999999999997E-3</v>
      </c>
      <c r="D119" s="116">
        <f>C119*D134</f>
        <v>34.718249273055832</v>
      </c>
    </row>
    <row r="120" spans="1:4" x14ac:dyDescent="0.25">
      <c r="A120" s="110"/>
      <c r="B120" s="132" t="s">
        <v>113</v>
      </c>
      <c r="C120" s="162">
        <v>0.03</v>
      </c>
      <c r="D120" s="116">
        <f>C120*D134</f>
        <v>160.23807356794998</v>
      </c>
    </row>
    <row r="121" spans="1:4" x14ac:dyDescent="0.25">
      <c r="A121" s="110"/>
      <c r="B121" s="110" t="s">
        <v>114</v>
      </c>
      <c r="C121" s="163">
        <v>2.5000000000000001E-2</v>
      </c>
      <c r="D121" s="116">
        <f>C121*D134</f>
        <v>133.53172797329168</v>
      </c>
    </row>
    <row r="122" spans="1:4" x14ac:dyDescent="0.25">
      <c r="A122" s="114" t="s">
        <v>58</v>
      </c>
      <c r="B122" s="114"/>
      <c r="C122" s="114"/>
      <c r="D122" s="117">
        <f>SUM(D116:D118)</f>
        <v>994.71773528026483</v>
      </c>
    </row>
    <row r="123" spans="1:4" x14ac:dyDescent="0.25">
      <c r="A123" s="62"/>
      <c r="B123" s="62"/>
      <c r="C123" s="62"/>
      <c r="D123" s="62"/>
    </row>
    <row r="124" spans="1:4" x14ac:dyDescent="0.25">
      <c r="A124" s="321" t="s">
        <v>115</v>
      </c>
      <c r="B124" s="322"/>
      <c r="C124" s="322"/>
      <c r="D124" s="323"/>
    </row>
    <row r="125" spans="1:4" x14ac:dyDescent="0.25">
      <c r="A125" s="62" t="s">
        <v>54</v>
      </c>
      <c r="B125" s="62"/>
      <c r="C125" s="62"/>
      <c r="D125" s="62"/>
    </row>
    <row r="126" spans="1:4" x14ac:dyDescent="0.25">
      <c r="A126" s="110"/>
      <c r="B126" s="114" t="s">
        <v>116</v>
      </c>
      <c r="C126" s="114"/>
      <c r="D126" s="114" t="s">
        <v>56</v>
      </c>
    </row>
    <row r="127" spans="1:4" x14ac:dyDescent="0.25">
      <c r="A127" s="110" t="s">
        <v>33</v>
      </c>
      <c r="B127" s="285" t="s">
        <v>53</v>
      </c>
      <c r="C127" s="286"/>
      <c r="D127" s="116">
        <f>D27</f>
        <v>2048.7959999999998</v>
      </c>
    </row>
    <row r="128" spans="1:4" x14ac:dyDescent="0.25">
      <c r="A128" s="110" t="s">
        <v>35</v>
      </c>
      <c r="B128" s="285" t="s">
        <v>117</v>
      </c>
      <c r="C128" s="286"/>
      <c r="D128" s="116">
        <f>D66</f>
        <v>1715.4865783007999</v>
      </c>
    </row>
    <row r="129" spans="1:4" x14ac:dyDescent="0.25">
      <c r="A129" s="110" t="s">
        <v>38</v>
      </c>
      <c r="B129" s="285" t="s">
        <v>118</v>
      </c>
      <c r="C129" s="286"/>
      <c r="D129" s="116">
        <f>D76</f>
        <v>130.83447352319999</v>
      </c>
    </row>
    <row r="130" spans="1:4" x14ac:dyDescent="0.25">
      <c r="A130" s="110" t="s">
        <v>57</v>
      </c>
      <c r="B130" s="285" t="s">
        <v>119</v>
      </c>
      <c r="C130" s="286"/>
      <c r="D130" s="116">
        <f>D106</f>
        <v>329.71433182740174</v>
      </c>
    </row>
    <row r="131" spans="1:4" x14ac:dyDescent="0.25">
      <c r="A131" s="110" t="s">
        <v>41</v>
      </c>
      <c r="B131" s="285" t="s">
        <v>120</v>
      </c>
      <c r="C131" s="286"/>
      <c r="D131" s="116">
        <f>D112</f>
        <v>121.72</v>
      </c>
    </row>
    <row r="132" spans="1:4" x14ac:dyDescent="0.25">
      <c r="A132" s="281" t="s">
        <v>121</v>
      </c>
      <c r="B132" s="282"/>
      <c r="C132" s="283"/>
      <c r="D132" s="117">
        <f>SUM(D127:D131)</f>
        <v>4346.5513836514019</v>
      </c>
    </row>
    <row r="133" spans="1:4" x14ac:dyDescent="0.25">
      <c r="A133" s="110" t="s">
        <v>42</v>
      </c>
      <c r="B133" s="285" t="s">
        <v>122</v>
      </c>
      <c r="C133" s="286"/>
      <c r="D133" s="116">
        <f>D122</f>
        <v>994.71773528026483</v>
      </c>
    </row>
    <row r="134" spans="1:4" x14ac:dyDescent="0.25">
      <c r="A134" s="298" t="s">
        <v>123</v>
      </c>
      <c r="B134" s="299"/>
      <c r="C134" s="300"/>
      <c r="D134" s="121">
        <f>SUM(D132+D133)</f>
        <v>5341.2691189316665</v>
      </c>
    </row>
    <row r="135" spans="1:4" x14ac:dyDescent="0.25">
      <c r="D135" s="149"/>
    </row>
    <row r="136" spans="1:4" x14ac:dyDescent="0.25">
      <c r="C136" s="122" t="s">
        <v>129</v>
      </c>
      <c r="D136" s="122">
        <v>4</v>
      </c>
    </row>
    <row r="137" spans="1:4" x14ac:dyDescent="0.25">
      <c r="A137" s="62"/>
      <c r="B137" s="62"/>
      <c r="C137" s="111" t="s">
        <v>124</v>
      </c>
      <c r="D137" s="164">
        <f>D136*D134</f>
        <v>21365.076475726666</v>
      </c>
    </row>
    <row r="138" spans="1:4" x14ac:dyDescent="0.25">
      <c r="A138" s="62"/>
      <c r="B138" s="62"/>
      <c r="C138" s="122" t="s">
        <v>128</v>
      </c>
      <c r="D138" s="165">
        <v>12</v>
      </c>
    </row>
    <row r="139" spans="1:4" x14ac:dyDescent="0.25">
      <c r="A139" s="62"/>
      <c r="B139" s="62"/>
      <c r="C139" s="111" t="s">
        <v>125</v>
      </c>
      <c r="D139" s="166">
        <f>D138*D137</f>
        <v>256380.91770871999</v>
      </c>
    </row>
  </sheetData>
  <mergeCells count="62">
    <mergeCell ref="B7:C7"/>
    <mergeCell ref="A1:D1"/>
    <mergeCell ref="A2:D2"/>
    <mergeCell ref="A3:D3"/>
    <mergeCell ref="A4:C4"/>
    <mergeCell ref="A6:D6"/>
    <mergeCell ref="B19:C19"/>
    <mergeCell ref="B8:C8"/>
    <mergeCell ref="B9:C9"/>
    <mergeCell ref="B10:C10"/>
    <mergeCell ref="B11:C11"/>
    <mergeCell ref="B12:C12"/>
    <mergeCell ref="A13:D13"/>
    <mergeCell ref="A14:D14"/>
    <mergeCell ref="A15:C15"/>
    <mergeCell ref="A16:C16"/>
    <mergeCell ref="A17:D17"/>
    <mergeCell ref="A18:D18"/>
    <mergeCell ref="A37:D37"/>
    <mergeCell ref="B20:C20"/>
    <mergeCell ref="B21:C21"/>
    <mergeCell ref="A23:D23"/>
    <mergeCell ref="B24:C24"/>
    <mergeCell ref="A27:C27"/>
    <mergeCell ref="A29:D29"/>
    <mergeCell ref="A30:D30"/>
    <mergeCell ref="B31:C31"/>
    <mergeCell ref="A34:B34"/>
    <mergeCell ref="A35:B35"/>
    <mergeCell ref="A36:C36"/>
    <mergeCell ref="A66:C66"/>
    <mergeCell ref="A38:D38"/>
    <mergeCell ref="A49:D49"/>
    <mergeCell ref="A50:D50"/>
    <mergeCell ref="B51:C51"/>
    <mergeCell ref="A59:C59"/>
    <mergeCell ref="A60:D60"/>
    <mergeCell ref="A61:D61"/>
    <mergeCell ref="B62:C62"/>
    <mergeCell ref="B63:C63"/>
    <mergeCell ref="B64:C64"/>
    <mergeCell ref="B65:C65"/>
    <mergeCell ref="A124:D124"/>
    <mergeCell ref="A68:D68"/>
    <mergeCell ref="A76:C76"/>
    <mergeCell ref="A78:D78"/>
    <mergeCell ref="A84:C84"/>
    <mergeCell ref="A86:D86"/>
    <mergeCell ref="A87:D87"/>
    <mergeCell ref="A97:D97"/>
    <mergeCell ref="A102:D102"/>
    <mergeCell ref="A108:D108"/>
    <mergeCell ref="A113:D113"/>
    <mergeCell ref="A114:D114"/>
    <mergeCell ref="B133:C133"/>
    <mergeCell ref="A134:C134"/>
    <mergeCell ref="B127:C127"/>
    <mergeCell ref="B128:C128"/>
    <mergeCell ref="B129:C129"/>
    <mergeCell ref="B130:C130"/>
    <mergeCell ref="B131:C131"/>
    <mergeCell ref="A132:C132"/>
  </mergeCells>
  <pageMargins left="0.25" right="0.25"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8434-6BE1-4EEA-AA61-26B4A8CD6850}">
  <dimension ref="A1:H141"/>
  <sheetViews>
    <sheetView workbookViewId="0">
      <selection sqref="A1:D141"/>
    </sheetView>
  </sheetViews>
  <sheetFormatPr defaultRowHeight="12.75" x14ac:dyDescent="0.25"/>
  <cols>
    <col min="1" max="1" width="5" style="148" bestFit="1" customWidth="1"/>
    <col min="2" max="2" width="54.140625" style="148" bestFit="1" customWidth="1"/>
    <col min="3" max="3" width="17.28515625" style="148" bestFit="1" customWidth="1"/>
    <col min="4" max="4" width="18.42578125" style="148" bestFit="1" customWidth="1"/>
    <col min="5" max="5" width="9.140625" style="62"/>
    <col min="6" max="6" width="10.28515625" style="148" bestFit="1" customWidth="1"/>
    <col min="7" max="7" width="9.140625" style="148"/>
    <col min="8" max="8" width="10.28515625" style="148" bestFit="1" customWidth="1"/>
    <col min="9" max="16384" width="9.140625" style="148"/>
  </cols>
  <sheetData>
    <row r="1" spans="1:4" x14ac:dyDescent="0.25">
      <c r="A1" s="394" t="s">
        <v>296</v>
      </c>
      <c r="B1" s="394"/>
      <c r="C1" s="394"/>
      <c r="D1" s="394"/>
    </row>
    <row r="2" spans="1:4" x14ac:dyDescent="0.25">
      <c r="A2" s="395"/>
      <c r="B2" s="394"/>
      <c r="C2" s="394"/>
      <c r="D2" s="396"/>
    </row>
    <row r="3" spans="1:4" ht="13.5" thickBot="1" x14ac:dyDescent="0.3">
      <c r="A3" s="397" t="s">
        <v>30</v>
      </c>
      <c r="B3" s="397"/>
      <c r="C3" s="397"/>
      <c r="D3" s="397"/>
    </row>
    <row r="4" spans="1:4" x14ac:dyDescent="0.25">
      <c r="A4" s="398" t="s">
        <v>31</v>
      </c>
      <c r="B4" s="399"/>
      <c r="C4" s="399"/>
      <c r="D4" s="189"/>
    </row>
    <row r="5" spans="1:4" x14ac:dyDescent="0.25">
      <c r="A5" s="190"/>
      <c r="B5" s="191"/>
      <c r="C5" s="191"/>
      <c r="D5" s="191"/>
    </row>
    <row r="6" spans="1:4" ht="13.5" thickBot="1" x14ac:dyDescent="0.3">
      <c r="A6" s="400" t="s">
        <v>32</v>
      </c>
      <c r="B6" s="400"/>
      <c r="C6" s="400"/>
      <c r="D6" s="400"/>
    </row>
    <row r="7" spans="1:4" x14ac:dyDescent="0.25">
      <c r="A7" s="192" t="s">
        <v>33</v>
      </c>
      <c r="B7" s="393" t="s">
        <v>34</v>
      </c>
      <c r="C7" s="393"/>
      <c r="D7" s="193"/>
    </row>
    <row r="8" spans="1:4" x14ac:dyDescent="0.25">
      <c r="A8" s="194" t="s">
        <v>35</v>
      </c>
      <c r="B8" s="388" t="s">
        <v>36</v>
      </c>
      <c r="C8" s="388"/>
      <c r="D8" s="195" t="s">
        <v>37</v>
      </c>
    </row>
    <row r="9" spans="1:4" x14ac:dyDescent="0.25">
      <c r="A9" s="196" t="s">
        <v>38</v>
      </c>
      <c r="B9" s="378" t="s">
        <v>39</v>
      </c>
      <c r="C9" s="378"/>
      <c r="D9" s="197" t="s">
        <v>247</v>
      </c>
    </row>
    <row r="10" spans="1:4" x14ac:dyDescent="0.25">
      <c r="A10" s="196" t="s">
        <v>57</v>
      </c>
      <c r="B10" s="389" t="s">
        <v>196</v>
      </c>
      <c r="C10" s="390"/>
      <c r="D10" s="195" t="s">
        <v>149</v>
      </c>
    </row>
    <row r="11" spans="1:4" x14ac:dyDescent="0.25">
      <c r="A11" s="196" t="s">
        <v>41</v>
      </c>
      <c r="B11" s="378" t="s">
        <v>40</v>
      </c>
      <c r="C11" s="378"/>
      <c r="D11" s="198">
        <v>45679</v>
      </c>
    </row>
    <row r="12" spans="1:4" x14ac:dyDescent="0.25">
      <c r="A12" s="196" t="s">
        <v>42</v>
      </c>
      <c r="B12" s="378" t="s">
        <v>45</v>
      </c>
      <c r="C12" s="378"/>
      <c r="D12" s="195" t="s">
        <v>46</v>
      </c>
    </row>
    <row r="13" spans="1:4" x14ac:dyDescent="0.25">
      <c r="A13" s="378"/>
      <c r="B13" s="378"/>
      <c r="C13" s="378"/>
      <c r="D13" s="378"/>
    </row>
    <row r="14" spans="1:4" ht="13.5" thickBot="1" x14ac:dyDescent="0.3">
      <c r="A14" s="391" t="s">
        <v>47</v>
      </c>
      <c r="B14" s="391"/>
      <c r="C14" s="391"/>
      <c r="D14" s="391"/>
    </row>
    <row r="15" spans="1:4" x14ac:dyDescent="0.25">
      <c r="A15" s="378" t="s">
        <v>48</v>
      </c>
      <c r="B15" s="378"/>
      <c r="C15" s="378"/>
      <c r="D15" s="196" t="s">
        <v>228</v>
      </c>
    </row>
    <row r="16" spans="1:4" x14ac:dyDescent="0.25">
      <c r="A16" s="378" t="s">
        <v>150</v>
      </c>
      <c r="B16" s="378"/>
      <c r="C16" s="378"/>
      <c r="D16" s="195" t="s">
        <v>217</v>
      </c>
    </row>
    <row r="17" spans="1:8" x14ac:dyDescent="0.25">
      <c r="A17" s="392"/>
      <c r="B17" s="392"/>
      <c r="C17" s="392"/>
      <c r="D17" s="390"/>
    </row>
    <row r="18" spans="1:8" ht="13.5" thickBot="1" x14ac:dyDescent="0.3">
      <c r="A18" s="391" t="s">
        <v>49</v>
      </c>
      <c r="B18" s="391"/>
      <c r="C18" s="391"/>
      <c r="D18" s="391"/>
    </row>
    <row r="19" spans="1:8" x14ac:dyDescent="0.2">
      <c r="A19" s="194">
        <v>3</v>
      </c>
      <c r="B19" s="386" t="s">
        <v>50</v>
      </c>
      <c r="C19" s="387"/>
      <c r="D19" s="199">
        <v>1707.33</v>
      </c>
    </row>
    <row r="20" spans="1:8" x14ac:dyDescent="0.25">
      <c r="A20" s="196">
        <v>4</v>
      </c>
      <c r="B20" s="378" t="s">
        <v>51</v>
      </c>
      <c r="C20" s="378"/>
      <c r="D20" s="196" t="s">
        <v>244</v>
      </c>
    </row>
    <row r="21" spans="1:8" x14ac:dyDescent="0.25">
      <c r="A21" s="196">
        <v>6</v>
      </c>
      <c r="B21" s="378" t="s">
        <v>52</v>
      </c>
      <c r="C21" s="378"/>
      <c r="D21" s="200">
        <v>1518</v>
      </c>
    </row>
    <row r="22" spans="1:8" ht="13.5" thickBot="1" x14ac:dyDescent="0.3">
      <c r="A22" s="201"/>
      <c r="B22" s="201"/>
      <c r="C22" s="201"/>
      <c r="D22" s="201"/>
    </row>
    <row r="23" spans="1:8" ht="13.5" thickBot="1" x14ac:dyDescent="0.3">
      <c r="A23" s="366" t="s">
        <v>53</v>
      </c>
      <c r="B23" s="366"/>
      <c r="C23" s="366"/>
      <c r="D23" s="366"/>
    </row>
    <row r="24" spans="1:8" x14ac:dyDescent="0.25">
      <c r="A24" s="202">
        <v>1</v>
      </c>
      <c r="B24" s="375" t="s">
        <v>55</v>
      </c>
      <c r="C24" s="375"/>
      <c r="D24" s="202" t="s">
        <v>56</v>
      </c>
    </row>
    <row r="25" spans="1:8" x14ac:dyDescent="0.25">
      <c r="A25" s="194" t="s">
        <v>33</v>
      </c>
      <c r="B25" s="194" t="s">
        <v>191</v>
      </c>
      <c r="C25" s="194"/>
      <c r="D25" s="203">
        <f>D19</f>
        <v>1707.33</v>
      </c>
    </row>
    <row r="26" spans="1:8" x14ac:dyDescent="0.25">
      <c r="A26" s="194" t="s">
        <v>35</v>
      </c>
      <c r="B26" s="194" t="s">
        <v>182</v>
      </c>
      <c r="C26" s="194"/>
      <c r="D26" s="203">
        <f>D25*0.2</f>
        <v>341.46600000000001</v>
      </c>
    </row>
    <row r="27" spans="1:8" x14ac:dyDescent="0.25">
      <c r="A27" s="194" t="s">
        <v>38</v>
      </c>
      <c r="B27" s="194" t="s">
        <v>229</v>
      </c>
      <c r="C27" s="203">
        <f>D25+D26</f>
        <v>2048.7959999999998</v>
      </c>
      <c r="D27" s="203">
        <f>C28*9/12</f>
        <v>307.31939999999997</v>
      </c>
      <c r="E27" s="170"/>
      <c r="F27" s="171"/>
      <c r="G27" s="171"/>
      <c r="H27" s="171"/>
    </row>
    <row r="28" spans="1:8" x14ac:dyDescent="0.25">
      <c r="A28" s="194" t="s">
        <v>57</v>
      </c>
      <c r="B28" s="194" t="s">
        <v>209</v>
      </c>
      <c r="C28" s="203">
        <f>C27*20%</f>
        <v>409.75919999999996</v>
      </c>
      <c r="D28" s="203">
        <f>C27*1.2/12</f>
        <v>204.87959999999998</v>
      </c>
      <c r="F28" s="171"/>
    </row>
    <row r="29" spans="1:8" x14ac:dyDescent="0.25">
      <c r="A29" s="375" t="s">
        <v>58</v>
      </c>
      <c r="B29" s="375"/>
      <c r="C29" s="375"/>
      <c r="D29" s="204">
        <f>SUM(D25:D28)</f>
        <v>2560.9949999999999</v>
      </c>
      <c r="F29" s="171"/>
    </row>
    <row r="30" spans="1:8" ht="13.5" thickBot="1" x14ac:dyDescent="0.3">
      <c r="A30" s="201" t="s">
        <v>54</v>
      </c>
      <c r="B30" s="201"/>
      <c r="C30" s="201"/>
      <c r="D30" s="201"/>
    </row>
    <row r="31" spans="1:8" ht="13.5" thickBot="1" x14ac:dyDescent="0.3">
      <c r="A31" s="366" t="s">
        <v>59</v>
      </c>
      <c r="B31" s="366"/>
      <c r="C31" s="366"/>
      <c r="D31" s="366"/>
    </row>
    <row r="32" spans="1:8" x14ac:dyDescent="0.25">
      <c r="A32" s="379" t="s">
        <v>60</v>
      </c>
      <c r="B32" s="379"/>
      <c r="C32" s="379"/>
      <c r="D32" s="379"/>
    </row>
    <row r="33" spans="1:4" x14ac:dyDescent="0.25">
      <c r="A33" s="202" t="s">
        <v>61</v>
      </c>
      <c r="B33" s="375" t="s">
        <v>62</v>
      </c>
      <c r="C33" s="375"/>
      <c r="D33" s="202" t="s">
        <v>56</v>
      </c>
    </row>
    <row r="34" spans="1:4" x14ac:dyDescent="0.25">
      <c r="A34" s="195" t="s">
        <v>33</v>
      </c>
      <c r="B34" s="195" t="s">
        <v>63</v>
      </c>
      <c r="C34" s="205">
        <v>8.3299999999999999E-2</v>
      </c>
      <c r="D34" s="206">
        <f>C34*D29</f>
        <v>213.3308835</v>
      </c>
    </row>
    <row r="35" spans="1:4" x14ac:dyDescent="0.25">
      <c r="A35" s="195" t="s">
        <v>35</v>
      </c>
      <c r="B35" s="195" t="s">
        <v>64</v>
      </c>
      <c r="C35" s="205">
        <v>2.7799999999999998E-2</v>
      </c>
      <c r="D35" s="206">
        <f>SUM(D29*C35)</f>
        <v>71.195660999999987</v>
      </c>
    </row>
    <row r="36" spans="1:4" x14ac:dyDescent="0.25">
      <c r="A36" s="380" t="s">
        <v>131</v>
      </c>
      <c r="B36" s="381"/>
      <c r="C36" s="207">
        <f>SUM(C34+C35)</f>
        <v>0.1111</v>
      </c>
      <c r="D36" s="208">
        <f>SUM(D34:D35)</f>
        <v>284.5265445</v>
      </c>
    </row>
    <row r="37" spans="1:4" x14ac:dyDescent="0.25">
      <c r="A37" s="382" t="s">
        <v>130</v>
      </c>
      <c r="B37" s="364"/>
      <c r="C37" s="210">
        <f>SUM(C42:C49)</f>
        <v>0.36800000000000005</v>
      </c>
      <c r="D37" s="206">
        <f>SUM(D36*C37)</f>
        <v>104.70576837600001</v>
      </c>
    </row>
    <row r="38" spans="1:4" x14ac:dyDescent="0.25">
      <c r="A38" s="383" t="s">
        <v>58</v>
      </c>
      <c r="B38" s="384"/>
      <c r="C38" s="385"/>
      <c r="D38" s="211">
        <f>SUM(D36+D37)</f>
        <v>389.23231287600004</v>
      </c>
    </row>
    <row r="39" spans="1:4" x14ac:dyDescent="0.25">
      <c r="A39" s="376"/>
      <c r="B39" s="376"/>
      <c r="C39" s="376"/>
      <c r="D39" s="376"/>
    </row>
    <row r="40" spans="1:4" x14ac:dyDescent="0.25">
      <c r="A40" s="367" t="s">
        <v>65</v>
      </c>
      <c r="B40" s="367"/>
      <c r="C40" s="367"/>
      <c r="D40" s="367"/>
    </row>
    <row r="41" spans="1:4" x14ac:dyDescent="0.25">
      <c r="A41" s="213" t="s">
        <v>66</v>
      </c>
      <c r="B41" s="213" t="s">
        <v>67</v>
      </c>
      <c r="C41" s="213" t="s">
        <v>68</v>
      </c>
      <c r="D41" s="213" t="s">
        <v>56</v>
      </c>
    </row>
    <row r="42" spans="1:4" x14ac:dyDescent="0.25">
      <c r="A42" s="214" t="s">
        <v>33</v>
      </c>
      <c r="B42" s="214" t="s">
        <v>69</v>
      </c>
      <c r="C42" s="210">
        <v>0.2</v>
      </c>
      <c r="D42" s="203">
        <f>D29*C42</f>
        <v>512.19899999999996</v>
      </c>
    </row>
    <row r="43" spans="1:4" x14ac:dyDescent="0.25">
      <c r="A43" s="214" t="s">
        <v>35</v>
      </c>
      <c r="B43" s="214" t="s">
        <v>70</v>
      </c>
      <c r="C43" s="210">
        <v>2.5000000000000001E-2</v>
      </c>
      <c r="D43" s="203">
        <f>D29*C43</f>
        <v>64.024874999999994</v>
      </c>
    </row>
    <row r="44" spans="1:4" x14ac:dyDescent="0.25">
      <c r="A44" s="214" t="s">
        <v>38</v>
      </c>
      <c r="B44" s="215" t="s">
        <v>71</v>
      </c>
      <c r="C44" s="216">
        <v>0.03</v>
      </c>
      <c r="D44" s="203">
        <f>D29*C44</f>
        <v>76.829849999999993</v>
      </c>
    </row>
    <row r="45" spans="1:4" x14ac:dyDescent="0.25">
      <c r="A45" s="214" t="s">
        <v>57</v>
      </c>
      <c r="B45" s="214" t="s">
        <v>72</v>
      </c>
      <c r="C45" s="210">
        <v>1.4999999999999999E-2</v>
      </c>
      <c r="D45" s="203">
        <f>D29*C45</f>
        <v>38.414924999999997</v>
      </c>
    </row>
    <row r="46" spans="1:4" x14ac:dyDescent="0.25">
      <c r="A46" s="214" t="s">
        <v>41</v>
      </c>
      <c r="B46" s="214" t="s">
        <v>73</v>
      </c>
      <c r="C46" s="210">
        <v>0.01</v>
      </c>
      <c r="D46" s="203">
        <f>D29*C46</f>
        <v>25.609949999999998</v>
      </c>
    </row>
    <row r="47" spans="1:4" x14ac:dyDescent="0.25">
      <c r="A47" s="214" t="s">
        <v>42</v>
      </c>
      <c r="B47" s="214" t="s">
        <v>74</v>
      </c>
      <c r="C47" s="210">
        <v>6.0000000000000001E-3</v>
      </c>
      <c r="D47" s="203">
        <f>D29*C47</f>
        <v>15.365969999999999</v>
      </c>
    </row>
    <row r="48" spans="1:4" x14ac:dyDescent="0.25">
      <c r="A48" s="214" t="s">
        <v>43</v>
      </c>
      <c r="B48" s="214" t="s">
        <v>75</v>
      </c>
      <c r="C48" s="210">
        <v>2E-3</v>
      </c>
      <c r="D48" s="203">
        <f>D29*C48</f>
        <v>5.1219900000000003</v>
      </c>
    </row>
    <row r="49" spans="1:4" x14ac:dyDescent="0.25">
      <c r="A49" s="214" t="s">
        <v>44</v>
      </c>
      <c r="B49" s="214" t="s">
        <v>76</v>
      </c>
      <c r="C49" s="210">
        <v>0.08</v>
      </c>
      <c r="D49" s="203">
        <f>D29*C49</f>
        <v>204.87959999999998</v>
      </c>
    </row>
    <row r="50" spans="1:4" x14ac:dyDescent="0.25">
      <c r="A50" s="214"/>
      <c r="B50" s="213" t="s">
        <v>58</v>
      </c>
      <c r="C50" s="210">
        <f>SUM(C42:C49)</f>
        <v>0.36800000000000005</v>
      </c>
      <c r="D50" s="204">
        <f>SUM(D42:D49)</f>
        <v>942.44615999999985</v>
      </c>
    </row>
    <row r="51" spans="1:4" x14ac:dyDescent="0.25">
      <c r="A51" s="376"/>
      <c r="B51" s="376"/>
      <c r="C51" s="376"/>
      <c r="D51" s="376"/>
    </row>
    <row r="52" spans="1:4" x14ac:dyDescent="0.25">
      <c r="A52" s="367" t="s">
        <v>77</v>
      </c>
      <c r="B52" s="367"/>
      <c r="C52" s="367"/>
      <c r="D52" s="367"/>
    </row>
    <row r="53" spans="1:4" x14ac:dyDescent="0.25">
      <c r="A53" s="202" t="s">
        <v>78</v>
      </c>
      <c r="B53" s="375" t="s">
        <v>79</v>
      </c>
      <c r="C53" s="375"/>
      <c r="D53" s="202" t="s">
        <v>56</v>
      </c>
    </row>
    <row r="54" spans="1:4" x14ac:dyDescent="0.25">
      <c r="A54" s="194" t="s">
        <v>33</v>
      </c>
      <c r="B54" s="194" t="s">
        <v>140</v>
      </c>
      <c r="C54" s="217">
        <v>5.15</v>
      </c>
      <c r="D54" s="206">
        <f>(2*5.15*15.2) - (D25*6%)</f>
        <v>54.120200000000011</v>
      </c>
    </row>
    <row r="55" spans="1:4" x14ac:dyDescent="0.25">
      <c r="A55" s="194" t="s">
        <v>35</v>
      </c>
      <c r="B55" s="218" t="s">
        <v>146</v>
      </c>
      <c r="C55" s="219">
        <v>27.29</v>
      </c>
      <c r="D55" s="220">
        <f>27.29*15.2*99%</f>
        <v>410.65992</v>
      </c>
    </row>
    <row r="56" spans="1:4" x14ac:dyDescent="0.25">
      <c r="A56" s="194" t="s">
        <v>38</v>
      </c>
      <c r="B56" s="194" t="s">
        <v>142</v>
      </c>
      <c r="C56" s="217"/>
      <c r="D56" s="206">
        <v>11</v>
      </c>
    </row>
    <row r="57" spans="1:4" x14ac:dyDescent="0.25">
      <c r="A57" s="194" t="s">
        <v>57</v>
      </c>
      <c r="B57" s="194" t="s">
        <v>147</v>
      </c>
      <c r="C57" s="221"/>
      <c r="D57" s="222">
        <f>SUM(D29*7%)</f>
        <v>179.26965000000001</v>
      </c>
    </row>
    <row r="58" spans="1:4" x14ac:dyDescent="0.25">
      <c r="A58" s="194" t="s">
        <v>41</v>
      </c>
      <c r="B58" s="194" t="s">
        <v>144</v>
      </c>
      <c r="C58" s="221"/>
      <c r="D58" s="222">
        <v>0</v>
      </c>
    </row>
    <row r="59" spans="1:4" x14ac:dyDescent="0.25">
      <c r="A59" s="194" t="s">
        <v>42</v>
      </c>
      <c r="B59" s="194" t="s">
        <v>143</v>
      </c>
      <c r="C59" s="221"/>
      <c r="D59" s="222">
        <v>10.46</v>
      </c>
    </row>
    <row r="60" spans="1:4" x14ac:dyDescent="0.25">
      <c r="A60" s="194" t="s">
        <v>43</v>
      </c>
      <c r="B60" s="194" t="s">
        <v>145</v>
      </c>
      <c r="C60" s="221">
        <v>0.01</v>
      </c>
      <c r="D60" s="222">
        <f>(D25+D26)*1/100</f>
        <v>20.487959999999998</v>
      </c>
    </row>
    <row r="61" spans="1:4" x14ac:dyDescent="0.25">
      <c r="A61" s="375" t="s">
        <v>58</v>
      </c>
      <c r="B61" s="375"/>
      <c r="C61" s="375"/>
      <c r="D61" s="208">
        <f>SUM(D54:D60)</f>
        <v>685.99773000000016</v>
      </c>
    </row>
    <row r="62" spans="1:4" x14ac:dyDescent="0.25">
      <c r="A62" s="376"/>
      <c r="B62" s="376"/>
      <c r="C62" s="376"/>
      <c r="D62" s="376"/>
    </row>
    <row r="63" spans="1:4" x14ac:dyDescent="0.25">
      <c r="A63" s="367" t="s">
        <v>80</v>
      </c>
      <c r="B63" s="367"/>
      <c r="C63" s="367"/>
      <c r="D63" s="367"/>
    </row>
    <row r="64" spans="1:4" x14ac:dyDescent="0.25">
      <c r="A64" s="202">
        <v>2</v>
      </c>
      <c r="B64" s="375" t="s">
        <v>81</v>
      </c>
      <c r="C64" s="375"/>
      <c r="D64" s="202" t="s">
        <v>56</v>
      </c>
    </row>
    <row r="65" spans="1:4" x14ac:dyDescent="0.25">
      <c r="A65" s="194" t="s">
        <v>61</v>
      </c>
      <c r="B65" s="377" t="s">
        <v>82</v>
      </c>
      <c r="C65" s="377"/>
      <c r="D65" s="203">
        <f>D38</f>
        <v>389.23231287600004</v>
      </c>
    </row>
    <row r="66" spans="1:4" x14ac:dyDescent="0.25">
      <c r="A66" s="194" t="s">
        <v>66</v>
      </c>
      <c r="B66" s="377" t="s">
        <v>67</v>
      </c>
      <c r="C66" s="377"/>
      <c r="D66" s="203">
        <f>D50</f>
        <v>942.44615999999985</v>
      </c>
    </row>
    <row r="67" spans="1:4" x14ac:dyDescent="0.25">
      <c r="A67" s="194" t="s">
        <v>78</v>
      </c>
      <c r="B67" s="377" t="s">
        <v>79</v>
      </c>
      <c r="C67" s="377"/>
      <c r="D67" s="203">
        <f>D61</f>
        <v>685.99773000000016</v>
      </c>
    </row>
    <row r="68" spans="1:4" x14ac:dyDescent="0.25">
      <c r="A68" s="375" t="s">
        <v>58</v>
      </c>
      <c r="B68" s="375"/>
      <c r="C68" s="375"/>
      <c r="D68" s="204">
        <f>SUM(D65:D67)</f>
        <v>2017.6762028759999</v>
      </c>
    </row>
    <row r="69" spans="1:4" x14ac:dyDescent="0.25">
      <c r="A69" s="223"/>
      <c r="B69" s="223"/>
      <c r="C69" s="223"/>
      <c r="D69" s="224"/>
    </row>
    <row r="70" spans="1:4" x14ac:dyDescent="0.25">
      <c r="A70" s="363" t="s">
        <v>137</v>
      </c>
      <c r="B70" s="363"/>
      <c r="C70" s="363"/>
      <c r="D70" s="363"/>
    </row>
    <row r="71" spans="1:4" x14ac:dyDescent="0.25">
      <c r="A71" s="209">
        <v>3</v>
      </c>
      <c r="B71" s="202" t="s">
        <v>83</v>
      </c>
      <c r="C71" s="202" t="s">
        <v>84</v>
      </c>
      <c r="D71" s="202" t="s">
        <v>56</v>
      </c>
    </row>
    <row r="72" spans="1:4" x14ac:dyDescent="0.25">
      <c r="A72" s="195" t="s">
        <v>33</v>
      </c>
      <c r="B72" s="195" t="s">
        <v>85</v>
      </c>
      <c r="C72" s="225">
        <v>4.1700000000000001E-3</v>
      </c>
      <c r="D72" s="226">
        <f>D29*C72</f>
        <v>10.67934915</v>
      </c>
    </row>
    <row r="73" spans="1:4" x14ac:dyDescent="0.25">
      <c r="A73" s="195" t="s">
        <v>35</v>
      </c>
      <c r="B73" s="195" t="s">
        <v>86</v>
      </c>
      <c r="C73" s="227">
        <v>3.3399999999999999E-4</v>
      </c>
      <c r="D73" s="228">
        <f>D29*C73</f>
        <v>0.8553723299999999</v>
      </c>
    </row>
    <row r="74" spans="1:4" x14ac:dyDescent="0.25">
      <c r="A74" s="229" t="s">
        <v>38</v>
      </c>
      <c r="B74" s="229" t="s">
        <v>87</v>
      </c>
      <c r="C74" s="230">
        <v>1.6000000000000001E-3</v>
      </c>
      <c r="D74" s="231">
        <f>SUM(D29+D36)*C74</f>
        <v>4.5528344711999997</v>
      </c>
    </row>
    <row r="75" spans="1:4" x14ac:dyDescent="0.25">
      <c r="A75" s="195" t="s">
        <v>57</v>
      </c>
      <c r="B75" s="195" t="s">
        <v>88</v>
      </c>
      <c r="C75" s="232">
        <v>1.84E-2</v>
      </c>
      <c r="D75" s="226">
        <f>D29*C75</f>
        <v>47.122307999999997</v>
      </c>
    </row>
    <row r="76" spans="1:4" x14ac:dyDescent="0.25">
      <c r="A76" s="194" t="s">
        <v>41</v>
      </c>
      <c r="B76" s="194" t="s">
        <v>89</v>
      </c>
      <c r="C76" s="233">
        <v>5.4000000000000003E-3</v>
      </c>
      <c r="D76" s="234">
        <f>D29*C76</f>
        <v>13.829373</v>
      </c>
    </row>
    <row r="77" spans="1:4" x14ac:dyDescent="0.25">
      <c r="A77" s="229" t="s">
        <v>42</v>
      </c>
      <c r="B77" s="229" t="s">
        <v>90</v>
      </c>
      <c r="C77" s="230">
        <v>3.04E-2</v>
      </c>
      <c r="D77" s="231">
        <f>(D29+D36)*C77</f>
        <v>86.503854952799998</v>
      </c>
    </row>
    <row r="78" spans="1:4" x14ac:dyDescent="0.25">
      <c r="A78" s="364" t="s">
        <v>58</v>
      </c>
      <c r="B78" s="364"/>
      <c r="C78" s="364"/>
      <c r="D78" s="208">
        <f>SUM(D72:D77)</f>
        <v>163.54309190399999</v>
      </c>
    </row>
    <row r="79" spans="1:4" x14ac:dyDescent="0.25">
      <c r="A79" s="235"/>
      <c r="B79" s="235"/>
      <c r="C79" s="235"/>
      <c r="D79" s="236"/>
    </row>
    <row r="80" spans="1:4" x14ac:dyDescent="0.25">
      <c r="A80" s="365" t="s">
        <v>132</v>
      </c>
      <c r="B80" s="365"/>
      <c r="C80" s="365"/>
      <c r="D80" s="365"/>
    </row>
    <row r="81" spans="1:4" x14ac:dyDescent="0.25">
      <c r="A81" s="195" t="s">
        <v>33</v>
      </c>
      <c r="B81" s="195" t="s">
        <v>133</v>
      </c>
      <c r="C81" s="209"/>
      <c r="D81" s="208">
        <f>D29</f>
        <v>2560.9949999999999</v>
      </c>
    </row>
    <row r="82" spans="1:4" x14ac:dyDescent="0.25">
      <c r="A82" s="195" t="s">
        <v>35</v>
      </c>
      <c r="B82" s="195" t="s">
        <v>117</v>
      </c>
      <c r="C82" s="209"/>
      <c r="D82" s="208">
        <f>D68</f>
        <v>2017.6762028759999</v>
      </c>
    </row>
    <row r="83" spans="1:4" x14ac:dyDescent="0.25">
      <c r="A83" s="229" t="s">
        <v>38</v>
      </c>
      <c r="B83" s="229" t="s">
        <v>134</v>
      </c>
      <c r="C83" s="237">
        <f>D81/12</f>
        <v>213.41624999999999</v>
      </c>
      <c r="D83" s="237">
        <f>C83*C50+C83</f>
        <v>291.95343000000003</v>
      </c>
    </row>
    <row r="84" spans="1:4" x14ac:dyDescent="0.25">
      <c r="A84" s="195" t="s">
        <v>57</v>
      </c>
      <c r="B84" s="195" t="s">
        <v>118</v>
      </c>
      <c r="C84" s="209"/>
      <c r="D84" s="208">
        <f>D78</f>
        <v>163.54309190399999</v>
      </c>
    </row>
    <row r="85" spans="1:4" x14ac:dyDescent="0.25">
      <c r="A85" s="195" t="s">
        <v>41</v>
      </c>
      <c r="B85" s="195" t="s">
        <v>135</v>
      </c>
      <c r="C85" s="209"/>
      <c r="D85" s="238">
        <f>-(D54+D55)</f>
        <v>-464.78012000000001</v>
      </c>
    </row>
    <row r="86" spans="1:4" x14ac:dyDescent="0.25">
      <c r="A86" s="364" t="s">
        <v>136</v>
      </c>
      <c r="B86" s="364"/>
      <c r="C86" s="364"/>
      <c r="D86" s="208">
        <f>SUM(D81:D85)</f>
        <v>4569.3876047799986</v>
      </c>
    </row>
    <row r="87" spans="1:4" ht="13.5" thickBot="1" x14ac:dyDescent="0.3">
      <c r="A87" s="235"/>
      <c r="B87" s="235"/>
      <c r="C87" s="235"/>
      <c r="D87" s="235"/>
    </row>
    <row r="88" spans="1:4" ht="13.5" thickBot="1" x14ac:dyDescent="0.3">
      <c r="A88" s="366" t="s">
        <v>91</v>
      </c>
      <c r="B88" s="366"/>
      <c r="C88" s="366"/>
      <c r="D88" s="366"/>
    </row>
    <row r="89" spans="1:4" x14ac:dyDescent="0.25">
      <c r="A89" s="367" t="s">
        <v>92</v>
      </c>
      <c r="B89" s="367"/>
      <c r="C89" s="367"/>
      <c r="D89" s="367"/>
    </row>
    <row r="90" spans="1:4" x14ac:dyDescent="0.25">
      <c r="A90" s="202" t="s">
        <v>93</v>
      </c>
      <c r="B90" s="202" t="s">
        <v>94</v>
      </c>
      <c r="C90" s="202" t="s">
        <v>84</v>
      </c>
      <c r="D90" s="202" t="s">
        <v>56</v>
      </c>
    </row>
    <row r="91" spans="1:4" x14ac:dyDescent="0.25">
      <c r="A91" s="195" t="s">
        <v>33</v>
      </c>
      <c r="B91" s="194" t="s">
        <v>95</v>
      </c>
      <c r="C91" s="210">
        <v>8.3299999999999999E-2</v>
      </c>
      <c r="D91" s="206">
        <f>D86*C91</f>
        <v>380.62998747817386</v>
      </c>
    </row>
    <row r="92" spans="1:4" x14ac:dyDescent="0.25">
      <c r="A92" s="195" t="s">
        <v>35</v>
      </c>
      <c r="B92" s="194" t="s">
        <v>138</v>
      </c>
      <c r="C92" s="239">
        <v>2.2200000000000002E-3</v>
      </c>
      <c r="D92" s="206">
        <f>D86*C92</f>
        <v>10.144040482611597</v>
      </c>
    </row>
    <row r="93" spans="1:4" x14ac:dyDescent="0.25">
      <c r="A93" s="195" t="s">
        <v>38</v>
      </c>
      <c r="B93" s="194" t="s">
        <v>96</v>
      </c>
      <c r="C93" s="239">
        <v>2.0000000000000001E-4</v>
      </c>
      <c r="D93" s="206">
        <f>D86*C93</f>
        <v>0.91387752095599972</v>
      </c>
    </row>
    <row r="94" spans="1:4" x14ac:dyDescent="0.25">
      <c r="A94" s="195" t="s">
        <v>57</v>
      </c>
      <c r="B94" s="194" t="s">
        <v>97</v>
      </c>
      <c r="C94" s="239">
        <v>2.7999999999999998E-4</v>
      </c>
      <c r="D94" s="206">
        <f>D86*C94</f>
        <v>1.2794285293383996</v>
      </c>
    </row>
    <row r="95" spans="1:4" x14ac:dyDescent="0.25">
      <c r="A95" s="195"/>
      <c r="B95" s="194" t="s">
        <v>139</v>
      </c>
      <c r="C95" s="239">
        <v>3.5999999999999999E-3</v>
      </c>
      <c r="D95" s="206">
        <f>D86*C95</f>
        <v>16.449795377207995</v>
      </c>
    </row>
    <row r="96" spans="1:4" x14ac:dyDescent="0.25">
      <c r="A96" s="195" t="s">
        <v>41</v>
      </c>
      <c r="B96" s="194" t="s">
        <v>98</v>
      </c>
      <c r="C96" s="239">
        <v>3.8999999999999999E-4</v>
      </c>
      <c r="D96" s="206">
        <f>D86*C96</f>
        <v>1.7820611658641994</v>
      </c>
    </row>
    <row r="97" spans="1:4" x14ac:dyDescent="0.25">
      <c r="A97" s="195" t="s">
        <v>42</v>
      </c>
      <c r="B97" s="194" t="s">
        <v>126</v>
      </c>
      <c r="C97" s="233"/>
      <c r="D97" s="206">
        <f>(($D$29+$D$68+$D$78)-$D$54)*C97</f>
        <v>0</v>
      </c>
    </row>
    <row r="98" spans="1:4" x14ac:dyDescent="0.25">
      <c r="A98" s="209" t="s">
        <v>58</v>
      </c>
      <c r="B98" s="209"/>
      <c r="C98" s="209"/>
      <c r="D98" s="208">
        <f>SUM(D91:D97)</f>
        <v>411.1991905541521</v>
      </c>
    </row>
    <row r="99" spans="1:4" x14ac:dyDescent="0.25">
      <c r="A99" s="368" t="s">
        <v>99</v>
      </c>
      <c r="B99" s="369"/>
      <c r="C99" s="369"/>
      <c r="D99" s="370"/>
    </row>
    <row r="100" spans="1:4" x14ac:dyDescent="0.25">
      <c r="A100" s="209" t="s">
        <v>100</v>
      </c>
      <c r="B100" s="195" t="s">
        <v>101</v>
      </c>
      <c r="C100" s="195"/>
      <c r="D100" s="202" t="s">
        <v>56</v>
      </c>
    </row>
    <row r="101" spans="1:4" x14ac:dyDescent="0.25">
      <c r="A101" s="195" t="s">
        <v>33</v>
      </c>
      <c r="B101" s="195" t="s">
        <v>102</v>
      </c>
      <c r="C101" s="195"/>
      <c r="D101" s="206">
        <v>0</v>
      </c>
    </row>
    <row r="102" spans="1:4" x14ac:dyDescent="0.25">
      <c r="A102" s="209" t="s">
        <v>58</v>
      </c>
      <c r="B102" s="209"/>
      <c r="C102" s="209"/>
      <c r="D102" s="208"/>
    </row>
    <row r="103" spans="1:4" x14ac:dyDescent="0.25">
      <c r="A103" s="212"/>
      <c r="B103" s="212"/>
      <c r="C103" s="212"/>
      <c r="D103" s="212"/>
    </row>
    <row r="104" spans="1:4" x14ac:dyDescent="0.25">
      <c r="A104" s="371" t="s">
        <v>103</v>
      </c>
      <c r="B104" s="372"/>
      <c r="C104" s="372"/>
      <c r="D104" s="373"/>
    </row>
    <row r="105" spans="1:4" x14ac:dyDescent="0.25">
      <c r="A105" s="202">
        <v>4</v>
      </c>
      <c r="B105" s="240" t="s">
        <v>104</v>
      </c>
      <c r="C105" s="241"/>
      <c r="D105" s="202" t="s">
        <v>56</v>
      </c>
    </row>
    <row r="106" spans="1:4" x14ac:dyDescent="0.25">
      <c r="A106" s="194" t="s">
        <v>93</v>
      </c>
      <c r="B106" s="242" t="s">
        <v>94</v>
      </c>
      <c r="C106" s="243"/>
      <c r="D106" s="244">
        <f>D98</f>
        <v>411.1991905541521</v>
      </c>
    </row>
    <row r="107" spans="1:4" x14ac:dyDescent="0.25">
      <c r="A107" s="194" t="s">
        <v>100</v>
      </c>
      <c r="B107" s="242" t="s">
        <v>101</v>
      </c>
      <c r="C107" s="243"/>
      <c r="D107" s="206">
        <f>D102</f>
        <v>0</v>
      </c>
    </row>
    <row r="108" spans="1:4" x14ac:dyDescent="0.25">
      <c r="A108" s="245" t="s">
        <v>58</v>
      </c>
      <c r="B108" s="246"/>
      <c r="C108" s="247"/>
      <c r="D108" s="208">
        <f>SUM(D106:D107)</f>
        <v>411.1991905541521</v>
      </c>
    </row>
    <row r="109" spans="1:4" x14ac:dyDescent="0.25">
      <c r="A109" s="201" t="s">
        <v>54</v>
      </c>
      <c r="B109" s="201"/>
      <c r="C109" s="201"/>
      <c r="D109" s="201"/>
    </row>
    <row r="110" spans="1:4" x14ac:dyDescent="0.25">
      <c r="A110" s="371" t="s">
        <v>105</v>
      </c>
      <c r="B110" s="372"/>
      <c r="C110" s="372"/>
      <c r="D110" s="373"/>
    </row>
    <row r="111" spans="1:4" x14ac:dyDescent="0.25">
      <c r="A111" s="202">
        <v>5</v>
      </c>
      <c r="B111" s="202" t="s">
        <v>106</v>
      </c>
      <c r="C111" s="202"/>
      <c r="D111" s="202" t="s">
        <v>56</v>
      </c>
    </row>
    <row r="112" spans="1:4" x14ac:dyDescent="0.25">
      <c r="A112" s="218" t="s">
        <v>33</v>
      </c>
      <c r="B112" s="248" t="s">
        <v>141</v>
      </c>
      <c r="C112" s="248"/>
      <c r="D112" s="222">
        <v>121.72</v>
      </c>
    </row>
    <row r="113" spans="1:4" x14ac:dyDescent="0.25">
      <c r="A113" s="194" t="s">
        <v>35</v>
      </c>
      <c r="B113" s="194" t="s">
        <v>164</v>
      </c>
      <c r="C113" s="202"/>
      <c r="D113" s="203">
        <v>0</v>
      </c>
    </row>
    <row r="114" spans="1:4" x14ac:dyDescent="0.25">
      <c r="A114" s="202" t="s">
        <v>58</v>
      </c>
      <c r="B114" s="202"/>
      <c r="C114" s="202"/>
      <c r="D114" s="204">
        <f>D112+D113</f>
        <v>121.72</v>
      </c>
    </row>
    <row r="115" spans="1:4" x14ac:dyDescent="0.25">
      <c r="A115" s="374"/>
      <c r="B115" s="374"/>
      <c r="C115" s="374"/>
      <c r="D115" s="374"/>
    </row>
    <row r="116" spans="1:4" x14ac:dyDescent="0.25">
      <c r="A116" s="371" t="s">
        <v>107</v>
      </c>
      <c r="B116" s="372"/>
      <c r="C116" s="372"/>
      <c r="D116" s="373"/>
    </row>
    <row r="117" spans="1:4" x14ac:dyDescent="0.25">
      <c r="A117" s="202">
        <v>6</v>
      </c>
      <c r="B117" s="202" t="s">
        <v>108</v>
      </c>
      <c r="C117" s="202" t="s">
        <v>68</v>
      </c>
      <c r="D117" s="202" t="s">
        <v>56</v>
      </c>
    </row>
    <row r="118" spans="1:4" x14ac:dyDescent="0.25">
      <c r="A118" s="194" t="s">
        <v>33</v>
      </c>
      <c r="B118" s="248" t="s">
        <v>109</v>
      </c>
      <c r="C118" s="249">
        <v>0.05</v>
      </c>
      <c r="D118" s="203">
        <f>C118*D134</f>
        <v>263.75667426670759</v>
      </c>
    </row>
    <row r="119" spans="1:4" x14ac:dyDescent="0.25">
      <c r="A119" s="194" t="s">
        <v>35</v>
      </c>
      <c r="B119" s="248" t="s">
        <v>110</v>
      </c>
      <c r="C119" s="249">
        <v>0.1</v>
      </c>
      <c r="D119" s="203">
        <f>C119*(D118+D134)</f>
        <v>553.88901596008589</v>
      </c>
    </row>
    <row r="120" spans="1:4" x14ac:dyDescent="0.25">
      <c r="A120" s="194" t="s">
        <v>38</v>
      </c>
      <c r="B120" s="248" t="s">
        <v>111</v>
      </c>
      <c r="C120" s="250">
        <v>6.1499999999999999E-2</v>
      </c>
      <c r="D120" s="203">
        <f>(D29+D68+D78+D108+D113+D118+D119)*(C121+C122+C123)/(1-(C121+C122+C123))</f>
        <v>391.28411219712109</v>
      </c>
    </row>
    <row r="121" spans="1:4" x14ac:dyDescent="0.25">
      <c r="A121" s="194"/>
      <c r="B121" s="218" t="s">
        <v>112</v>
      </c>
      <c r="C121" s="250">
        <v>6.4999999999999997E-3</v>
      </c>
      <c r="D121" s="203">
        <f>C121*D136</f>
        <v>42.14641137042743</v>
      </c>
    </row>
    <row r="122" spans="1:4" x14ac:dyDescent="0.25">
      <c r="A122" s="194"/>
      <c r="B122" s="218" t="s">
        <v>113</v>
      </c>
      <c r="C122" s="250">
        <v>0.03</v>
      </c>
      <c r="D122" s="203">
        <f>C122*D136</f>
        <v>194.52189863274199</v>
      </c>
    </row>
    <row r="123" spans="1:4" x14ac:dyDescent="0.25">
      <c r="A123" s="194"/>
      <c r="B123" s="194" t="s">
        <v>114</v>
      </c>
      <c r="C123" s="251">
        <v>2.5000000000000001E-2</v>
      </c>
      <c r="D123" s="203">
        <f>C123*D136</f>
        <v>162.10158219395169</v>
      </c>
    </row>
    <row r="124" spans="1:4" x14ac:dyDescent="0.25">
      <c r="A124" s="202" t="s">
        <v>58</v>
      </c>
      <c r="B124" s="202"/>
      <c r="C124" s="202"/>
      <c r="D124" s="204">
        <f>SUM(D118:D120)</f>
        <v>1208.9298024239147</v>
      </c>
    </row>
    <row r="125" spans="1:4" x14ac:dyDescent="0.25">
      <c r="A125" s="201"/>
      <c r="B125" s="201"/>
      <c r="C125" s="201"/>
      <c r="D125" s="201"/>
    </row>
    <row r="126" spans="1:4" x14ac:dyDescent="0.25">
      <c r="A126" s="360" t="s">
        <v>115</v>
      </c>
      <c r="B126" s="361"/>
      <c r="C126" s="361"/>
      <c r="D126" s="362"/>
    </row>
    <row r="127" spans="1:4" x14ac:dyDescent="0.25">
      <c r="A127" s="201" t="s">
        <v>54</v>
      </c>
      <c r="B127" s="201"/>
      <c r="C127" s="201"/>
      <c r="D127" s="201"/>
    </row>
    <row r="128" spans="1:4" x14ac:dyDescent="0.25">
      <c r="A128" s="194"/>
      <c r="B128" s="202" t="s">
        <v>116</v>
      </c>
      <c r="C128" s="202"/>
      <c r="D128" s="202" t="s">
        <v>56</v>
      </c>
    </row>
    <row r="129" spans="1:4" x14ac:dyDescent="0.25">
      <c r="A129" s="194" t="s">
        <v>33</v>
      </c>
      <c r="B129" s="352" t="s">
        <v>53</v>
      </c>
      <c r="C129" s="353"/>
      <c r="D129" s="203">
        <f>D29</f>
        <v>2560.9949999999999</v>
      </c>
    </row>
    <row r="130" spans="1:4" x14ac:dyDescent="0.25">
      <c r="A130" s="194" t="s">
        <v>35</v>
      </c>
      <c r="B130" s="352" t="s">
        <v>117</v>
      </c>
      <c r="C130" s="353"/>
      <c r="D130" s="203">
        <f>D68</f>
        <v>2017.6762028759999</v>
      </c>
    </row>
    <row r="131" spans="1:4" x14ac:dyDescent="0.25">
      <c r="A131" s="194" t="s">
        <v>38</v>
      </c>
      <c r="B131" s="352" t="s">
        <v>118</v>
      </c>
      <c r="C131" s="353"/>
      <c r="D131" s="203">
        <f>D78</f>
        <v>163.54309190399999</v>
      </c>
    </row>
    <row r="132" spans="1:4" x14ac:dyDescent="0.25">
      <c r="A132" s="194" t="s">
        <v>57</v>
      </c>
      <c r="B132" s="352" t="s">
        <v>119</v>
      </c>
      <c r="C132" s="353"/>
      <c r="D132" s="203">
        <f>D108</f>
        <v>411.1991905541521</v>
      </c>
    </row>
    <row r="133" spans="1:4" x14ac:dyDescent="0.25">
      <c r="A133" s="194" t="s">
        <v>41</v>
      </c>
      <c r="B133" s="352" t="s">
        <v>120</v>
      </c>
      <c r="C133" s="353"/>
      <c r="D133" s="203">
        <f>D114</f>
        <v>121.72</v>
      </c>
    </row>
    <row r="134" spans="1:4" x14ac:dyDescent="0.25">
      <c r="A134" s="357" t="s">
        <v>121</v>
      </c>
      <c r="B134" s="358"/>
      <c r="C134" s="359"/>
      <c r="D134" s="204">
        <f>SUM(D129:D133)</f>
        <v>5275.1334853341514</v>
      </c>
    </row>
    <row r="135" spans="1:4" x14ac:dyDescent="0.25">
      <c r="A135" s="194" t="s">
        <v>42</v>
      </c>
      <c r="B135" s="352" t="s">
        <v>122</v>
      </c>
      <c r="C135" s="353"/>
      <c r="D135" s="203">
        <f>D124</f>
        <v>1208.9298024239147</v>
      </c>
    </row>
    <row r="136" spans="1:4" x14ac:dyDescent="0.25">
      <c r="A136" s="354" t="s">
        <v>123</v>
      </c>
      <c r="B136" s="355"/>
      <c r="C136" s="356"/>
      <c r="D136" s="208">
        <f>SUM(D134+D135)</f>
        <v>6484.0632877580665</v>
      </c>
    </row>
    <row r="137" spans="1:4" x14ac:dyDescent="0.25">
      <c r="A137" s="235"/>
      <c r="B137" s="235"/>
      <c r="C137" s="235"/>
      <c r="D137" s="236"/>
    </row>
    <row r="138" spans="1:4" x14ac:dyDescent="0.25">
      <c r="A138" s="235"/>
      <c r="B138" s="235"/>
      <c r="C138" s="209" t="s">
        <v>129</v>
      </c>
      <c r="D138" s="209">
        <v>4</v>
      </c>
    </row>
    <row r="139" spans="1:4" x14ac:dyDescent="0.25">
      <c r="A139" s="201"/>
      <c r="B139" s="201"/>
      <c r="C139" s="195" t="s">
        <v>124</v>
      </c>
      <c r="D139" s="252">
        <f>D138*D136</f>
        <v>25936.253151032266</v>
      </c>
    </row>
    <row r="140" spans="1:4" x14ac:dyDescent="0.25">
      <c r="A140" s="201"/>
      <c r="B140" s="201"/>
      <c r="C140" s="209" t="s">
        <v>128</v>
      </c>
      <c r="D140" s="253">
        <v>12</v>
      </c>
    </row>
    <row r="141" spans="1:4" x14ac:dyDescent="0.25">
      <c r="A141" s="201"/>
      <c r="B141" s="201"/>
      <c r="C141" s="195" t="s">
        <v>125</v>
      </c>
      <c r="D141" s="254">
        <f>D140*D139</f>
        <v>311235.03781238722</v>
      </c>
    </row>
  </sheetData>
  <mergeCells count="62">
    <mergeCell ref="B7:C7"/>
    <mergeCell ref="A1:D1"/>
    <mergeCell ref="A2:D2"/>
    <mergeCell ref="A3:D3"/>
    <mergeCell ref="A4:C4"/>
    <mergeCell ref="A6:D6"/>
    <mergeCell ref="B19:C19"/>
    <mergeCell ref="B8:C8"/>
    <mergeCell ref="B9:C9"/>
    <mergeCell ref="B10:C10"/>
    <mergeCell ref="B11:C11"/>
    <mergeCell ref="B12:C12"/>
    <mergeCell ref="A13:D13"/>
    <mergeCell ref="A14:D14"/>
    <mergeCell ref="A15:C15"/>
    <mergeCell ref="A16:C16"/>
    <mergeCell ref="A17:D17"/>
    <mergeCell ref="A18:D18"/>
    <mergeCell ref="A39:D39"/>
    <mergeCell ref="B20:C20"/>
    <mergeCell ref="B21:C21"/>
    <mergeCell ref="A23:D23"/>
    <mergeCell ref="B24:C24"/>
    <mergeCell ref="A29:C29"/>
    <mergeCell ref="A31:D31"/>
    <mergeCell ref="A32:D32"/>
    <mergeCell ref="B33:C33"/>
    <mergeCell ref="A36:B36"/>
    <mergeCell ref="A37:B37"/>
    <mergeCell ref="A38:C38"/>
    <mergeCell ref="A68:C68"/>
    <mergeCell ref="A40:D40"/>
    <mergeCell ref="A51:D51"/>
    <mergeCell ref="A52:D52"/>
    <mergeCell ref="B53:C53"/>
    <mergeCell ref="A61:C61"/>
    <mergeCell ref="A62:D62"/>
    <mergeCell ref="A63:D63"/>
    <mergeCell ref="B64:C64"/>
    <mergeCell ref="B65:C65"/>
    <mergeCell ref="B66:C66"/>
    <mergeCell ref="B67:C67"/>
    <mergeCell ref="A126:D126"/>
    <mergeCell ref="A70:D70"/>
    <mergeCell ref="A78:C78"/>
    <mergeCell ref="A80:D80"/>
    <mergeCell ref="A86:C86"/>
    <mergeCell ref="A88:D88"/>
    <mergeCell ref="A89:D89"/>
    <mergeCell ref="A99:D99"/>
    <mergeCell ref="A104:D104"/>
    <mergeCell ref="A110:D110"/>
    <mergeCell ref="A115:D115"/>
    <mergeCell ref="A116:D116"/>
    <mergeCell ref="B135:C135"/>
    <mergeCell ref="A136:C136"/>
    <mergeCell ref="B129:C129"/>
    <mergeCell ref="B130:C130"/>
    <mergeCell ref="B131:C131"/>
    <mergeCell ref="B132:C132"/>
    <mergeCell ref="B133:C133"/>
    <mergeCell ref="A134:C134"/>
  </mergeCells>
  <pageMargins left="0.25" right="0.25"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D04C-9062-4A1E-A995-34FD26B61E61}">
  <sheetPr>
    <pageSetUpPr fitToPage="1"/>
  </sheetPr>
  <dimension ref="A1:D139"/>
  <sheetViews>
    <sheetView workbookViewId="0">
      <selection activeCell="A3" sqref="A3:D3"/>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82" t="s">
        <v>261</v>
      </c>
    </row>
    <row r="10" spans="1:4" x14ac:dyDescent="0.2">
      <c r="A10" s="112" t="s">
        <v>57</v>
      </c>
      <c r="B10" s="273" t="s">
        <v>197</v>
      </c>
      <c r="C10" s="275"/>
      <c r="D10" s="111" t="s">
        <v>260</v>
      </c>
    </row>
    <row r="11" spans="1:4" x14ac:dyDescent="0.2">
      <c r="A11" s="112" t="s">
        <v>41</v>
      </c>
      <c r="B11" s="277" t="s">
        <v>40</v>
      </c>
      <c r="C11" s="277"/>
      <c r="D11" s="169">
        <v>45707</v>
      </c>
    </row>
    <row r="12" spans="1:4" x14ac:dyDescent="0.2">
      <c r="A12" s="112" t="s">
        <v>42</v>
      </c>
      <c r="B12" s="277" t="s">
        <v>45</v>
      </c>
      <c r="C12" s="277"/>
      <c r="D12" s="111" t="s">
        <v>46</v>
      </c>
    </row>
    <row r="13" spans="1:4" x14ac:dyDescent="0.2">
      <c r="A13" s="277"/>
      <c r="B13" s="277"/>
      <c r="C13" s="277"/>
      <c r="D13" s="277"/>
    </row>
    <row r="14" spans="1:4" ht="13.5" thickBot="1" x14ac:dyDescent="0.25">
      <c r="A14" s="276" t="s">
        <v>47</v>
      </c>
      <c r="B14" s="276"/>
      <c r="C14" s="276"/>
      <c r="D14" s="276"/>
    </row>
    <row r="15" spans="1:4" x14ac:dyDescent="0.2">
      <c r="A15" s="277" t="s">
        <v>48</v>
      </c>
      <c r="B15" s="277"/>
      <c r="C15" s="277"/>
      <c r="D15" s="112" t="s">
        <v>308</v>
      </c>
    </row>
    <row r="16" spans="1:4" x14ac:dyDescent="0.2">
      <c r="A16" s="277" t="s">
        <v>150</v>
      </c>
      <c r="B16" s="277"/>
      <c r="C16" s="277"/>
      <c r="D16" s="111" t="s">
        <v>217</v>
      </c>
    </row>
    <row r="17" spans="1:4" x14ac:dyDescent="0.2">
      <c r="A17" s="274"/>
      <c r="B17" s="274"/>
      <c r="C17" s="274"/>
      <c r="D17" s="275"/>
    </row>
    <row r="18" spans="1:4" ht="13.5" thickBot="1" x14ac:dyDescent="0.25">
      <c r="A18" s="276" t="s">
        <v>49</v>
      </c>
      <c r="B18" s="276"/>
      <c r="C18" s="276"/>
      <c r="D18" s="276"/>
    </row>
    <row r="19" spans="1:4" x14ac:dyDescent="0.2">
      <c r="A19" s="110">
        <v>3</v>
      </c>
      <c r="B19" s="278" t="s">
        <v>50</v>
      </c>
      <c r="C19" s="279"/>
      <c r="D19" s="113">
        <v>1973.24</v>
      </c>
    </row>
    <row r="20" spans="1:4" x14ac:dyDescent="0.2">
      <c r="A20" s="112">
        <v>4</v>
      </c>
      <c r="B20" s="277" t="s">
        <v>51</v>
      </c>
      <c r="C20" s="277"/>
      <c r="D20" s="112" t="s">
        <v>309</v>
      </c>
    </row>
    <row r="21" spans="1:4" x14ac:dyDescent="0.2">
      <c r="A21" s="112">
        <v>6</v>
      </c>
      <c r="B21" s="277" t="s">
        <v>52</v>
      </c>
      <c r="C21" s="277"/>
      <c r="D21" s="113">
        <v>1518</v>
      </c>
    </row>
    <row r="22" spans="1:4" ht="13.5" thickBot="1" x14ac:dyDescent="0.25">
      <c r="A22" s="62"/>
      <c r="B22" s="62"/>
      <c r="C22" s="62"/>
      <c r="D22" s="62"/>
    </row>
    <row r="23" spans="1:4" ht="13.5" thickBot="1" x14ac:dyDescent="0.25">
      <c r="A23" s="280" t="s">
        <v>53</v>
      </c>
      <c r="B23" s="280"/>
      <c r="C23" s="280"/>
      <c r="D23" s="280"/>
    </row>
    <row r="24" spans="1:4" x14ac:dyDescent="0.2">
      <c r="A24" s="114">
        <v>1</v>
      </c>
      <c r="B24" s="284" t="s">
        <v>55</v>
      </c>
      <c r="C24" s="284"/>
      <c r="D24" s="114" t="s">
        <v>56</v>
      </c>
    </row>
    <row r="25" spans="1:4" x14ac:dyDescent="0.2">
      <c r="A25" s="110" t="s">
        <v>33</v>
      </c>
      <c r="B25" s="110" t="s">
        <v>191</v>
      </c>
      <c r="C25" s="110"/>
      <c r="D25" s="116">
        <f>D19</f>
        <v>1973.24</v>
      </c>
    </row>
    <row r="26" spans="1:4" x14ac:dyDescent="0.2">
      <c r="A26" s="110" t="s">
        <v>35</v>
      </c>
      <c r="B26" s="110" t="s">
        <v>171</v>
      </c>
      <c r="C26" s="110"/>
      <c r="D26" s="116">
        <f>D25*0.3</f>
        <v>591.97199999999998</v>
      </c>
    </row>
    <row r="27" spans="1:4" x14ac:dyDescent="0.2">
      <c r="A27" s="284" t="s">
        <v>58</v>
      </c>
      <c r="B27" s="284"/>
      <c r="C27" s="284"/>
      <c r="D27" s="117">
        <f>SUM(D25:D26)</f>
        <v>2565.212</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213.68215960000001</v>
      </c>
    </row>
    <row r="33" spans="1:4" x14ac:dyDescent="0.2">
      <c r="A33" s="111" t="s">
        <v>35</v>
      </c>
      <c r="B33" s="111" t="s">
        <v>64</v>
      </c>
      <c r="C33" s="118">
        <v>2.7799999999999998E-2</v>
      </c>
      <c r="D33" s="119">
        <f>SUM(D27*C33)</f>
        <v>71.312893599999995</v>
      </c>
    </row>
    <row r="34" spans="1:4" x14ac:dyDescent="0.2">
      <c r="A34" s="305" t="s">
        <v>131</v>
      </c>
      <c r="B34" s="306"/>
      <c r="C34" s="120">
        <f>SUM(C32+C33)</f>
        <v>0.1111</v>
      </c>
      <c r="D34" s="121">
        <f>SUM(D32:D33)</f>
        <v>284.99505320000003</v>
      </c>
    </row>
    <row r="35" spans="1:4" x14ac:dyDescent="0.2">
      <c r="A35" s="313" t="s">
        <v>130</v>
      </c>
      <c r="B35" s="293"/>
      <c r="C35" s="123">
        <f>SUM(C40:C47)</f>
        <v>0.36800000000000005</v>
      </c>
      <c r="D35" s="119">
        <f>SUM(D34*C35)</f>
        <v>104.87817957760002</v>
      </c>
    </row>
    <row r="36" spans="1:4" x14ac:dyDescent="0.2">
      <c r="A36" s="307" t="s">
        <v>58</v>
      </c>
      <c r="B36" s="308"/>
      <c r="C36" s="309"/>
      <c r="D36" s="124">
        <f>SUM(D34+D35)</f>
        <v>389.87323277760004</v>
      </c>
    </row>
    <row r="37" spans="1:4" x14ac:dyDescent="0.2">
      <c r="A37" s="304"/>
      <c r="B37" s="304"/>
      <c r="C37" s="304"/>
      <c r="D37" s="304"/>
    </row>
    <row r="38" spans="1:4"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513.04240000000004</v>
      </c>
    </row>
    <row r="41" spans="1:4" x14ac:dyDescent="0.2">
      <c r="A41" s="127" t="s">
        <v>35</v>
      </c>
      <c r="B41" s="127" t="s">
        <v>70</v>
      </c>
      <c r="C41" s="123">
        <v>2.5000000000000001E-2</v>
      </c>
      <c r="D41" s="116">
        <f>D27*C41</f>
        <v>64.130300000000005</v>
      </c>
    </row>
    <row r="42" spans="1:4" x14ac:dyDescent="0.2">
      <c r="A42" s="127" t="s">
        <v>38</v>
      </c>
      <c r="B42" s="128" t="s">
        <v>71</v>
      </c>
      <c r="C42" s="129">
        <v>0.03</v>
      </c>
      <c r="D42" s="116">
        <f>D27*C42</f>
        <v>76.956360000000004</v>
      </c>
    </row>
    <row r="43" spans="1:4" x14ac:dyDescent="0.2">
      <c r="A43" s="127" t="s">
        <v>57</v>
      </c>
      <c r="B43" s="127" t="s">
        <v>72</v>
      </c>
      <c r="C43" s="123">
        <v>1.4999999999999999E-2</v>
      </c>
      <c r="D43" s="116">
        <f>D27*C43</f>
        <v>38.478180000000002</v>
      </c>
    </row>
    <row r="44" spans="1:4" x14ac:dyDescent="0.2">
      <c r="A44" s="127" t="s">
        <v>41</v>
      </c>
      <c r="B44" s="127" t="s">
        <v>73</v>
      </c>
      <c r="C44" s="123">
        <v>0.01</v>
      </c>
      <c r="D44" s="116">
        <f>D27*C44</f>
        <v>25.65212</v>
      </c>
    </row>
    <row r="45" spans="1:4" x14ac:dyDescent="0.2">
      <c r="A45" s="127" t="s">
        <v>42</v>
      </c>
      <c r="B45" s="127" t="s">
        <v>74</v>
      </c>
      <c r="C45" s="123">
        <v>6.0000000000000001E-3</v>
      </c>
      <c r="D45" s="116">
        <f>D27*C45</f>
        <v>15.391272000000001</v>
      </c>
    </row>
    <row r="46" spans="1:4" x14ac:dyDescent="0.2">
      <c r="A46" s="127" t="s">
        <v>43</v>
      </c>
      <c r="B46" s="127" t="s">
        <v>75</v>
      </c>
      <c r="C46" s="123">
        <v>2E-3</v>
      </c>
      <c r="D46" s="116">
        <f>D27*C46</f>
        <v>5.1304239999999997</v>
      </c>
    </row>
    <row r="47" spans="1:4" x14ac:dyDescent="0.2">
      <c r="A47" s="127" t="s">
        <v>44</v>
      </c>
      <c r="B47" s="127" t="s">
        <v>76</v>
      </c>
      <c r="C47" s="123">
        <v>0.08</v>
      </c>
      <c r="D47" s="116">
        <f>D27*C47</f>
        <v>205.21696</v>
      </c>
    </row>
    <row r="48" spans="1:4" x14ac:dyDescent="0.2">
      <c r="A48" s="127"/>
      <c r="B48" s="126" t="s">
        <v>58</v>
      </c>
      <c r="C48" s="123">
        <f>SUM(C40:C47)</f>
        <v>0.36800000000000005</v>
      </c>
      <c r="D48" s="117">
        <f>SUM(D40:D47)</f>
        <v>943.99801599999989</v>
      </c>
    </row>
    <row r="49" spans="1:4" x14ac:dyDescent="0.2">
      <c r="A49" s="304"/>
      <c r="B49" s="304"/>
      <c r="C49" s="304"/>
      <c r="D49" s="304"/>
    </row>
    <row r="50" spans="1:4" x14ac:dyDescent="0.2">
      <c r="A50" s="296" t="s">
        <v>77</v>
      </c>
      <c r="B50" s="296"/>
      <c r="C50" s="296"/>
      <c r="D50" s="296"/>
    </row>
    <row r="51" spans="1:4" x14ac:dyDescent="0.2">
      <c r="A51" s="114" t="s">
        <v>78</v>
      </c>
      <c r="B51" s="284" t="s">
        <v>79</v>
      </c>
      <c r="C51" s="284"/>
      <c r="D51" s="114" t="s">
        <v>56</v>
      </c>
    </row>
    <row r="52" spans="1:4" x14ac:dyDescent="0.2">
      <c r="A52" s="110" t="s">
        <v>33</v>
      </c>
      <c r="B52" s="110" t="s">
        <v>140</v>
      </c>
      <c r="C52" s="115">
        <v>5.15</v>
      </c>
      <c r="D52" s="119">
        <f>(2*5.15*15.2) - (D25*6%)</f>
        <v>38.165600000000012</v>
      </c>
    </row>
    <row r="53" spans="1:4" x14ac:dyDescent="0.2">
      <c r="A53" s="110" t="s">
        <v>35</v>
      </c>
      <c r="B53" s="132" t="s">
        <v>172</v>
      </c>
      <c r="C53" s="183">
        <v>40</v>
      </c>
      <c r="D53" s="134">
        <f>(40*15.2)*(0.8)</f>
        <v>486.40000000000003</v>
      </c>
    </row>
    <row r="54" spans="1:4" x14ac:dyDescent="0.2">
      <c r="A54" s="110" t="s">
        <v>38</v>
      </c>
      <c r="B54" s="110" t="s">
        <v>142</v>
      </c>
      <c r="C54" s="130"/>
      <c r="D54" s="119">
        <v>14</v>
      </c>
    </row>
    <row r="55" spans="1:4" x14ac:dyDescent="0.2">
      <c r="A55" s="110" t="s">
        <v>57</v>
      </c>
      <c r="B55" s="110" t="s">
        <v>147</v>
      </c>
      <c r="C55" s="135"/>
      <c r="D55" s="136">
        <f>SUM(D27*7%)</f>
        <v>179.56484</v>
      </c>
    </row>
    <row r="56" spans="1:4" x14ac:dyDescent="0.2">
      <c r="A56" s="110" t="s">
        <v>41</v>
      </c>
      <c r="B56" s="110" t="s">
        <v>144</v>
      </c>
      <c r="C56" s="135"/>
      <c r="D56" s="136">
        <v>0</v>
      </c>
    </row>
    <row r="57" spans="1:4" x14ac:dyDescent="0.2">
      <c r="A57" s="110" t="s">
        <v>42</v>
      </c>
      <c r="B57" s="110" t="s">
        <v>262</v>
      </c>
      <c r="C57" s="135"/>
      <c r="D57" s="136">
        <v>10.46</v>
      </c>
    </row>
    <row r="58" spans="1:4" x14ac:dyDescent="0.2">
      <c r="A58" s="110" t="s">
        <v>43</v>
      </c>
      <c r="B58" s="110" t="s">
        <v>263</v>
      </c>
      <c r="C58" s="135">
        <v>0.01</v>
      </c>
      <c r="D58" s="136">
        <f>D27*1%</f>
        <v>25.65212</v>
      </c>
    </row>
    <row r="59" spans="1:4" x14ac:dyDescent="0.2">
      <c r="A59" s="284" t="s">
        <v>58</v>
      </c>
      <c r="B59" s="284"/>
      <c r="C59" s="284"/>
      <c r="D59" s="121">
        <f>SUM(D52:D58)</f>
        <v>754.24256000000003</v>
      </c>
    </row>
    <row r="60" spans="1:4" x14ac:dyDescent="0.2">
      <c r="A60" s="304"/>
      <c r="B60" s="304"/>
      <c r="C60" s="304"/>
      <c r="D60" s="304"/>
    </row>
    <row r="61" spans="1:4" x14ac:dyDescent="0.2">
      <c r="A61" s="296" t="s">
        <v>80</v>
      </c>
      <c r="B61" s="296"/>
      <c r="C61" s="296"/>
      <c r="D61" s="296"/>
    </row>
    <row r="62" spans="1:4" x14ac:dyDescent="0.2">
      <c r="A62" s="114">
        <v>2</v>
      </c>
      <c r="B62" s="284" t="s">
        <v>81</v>
      </c>
      <c r="C62" s="284"/>
      <c r="D62" s="114" t="s">
        <v>56</v>
      </c>
    </row>
    <row r="63" spans="1:4" x14ac:dyDescent="0.2">
      <c r="A63" s="110" t="s">
        <v>61</v>
      </c>
      <c r="B63" s="297" t="s">
        <v>82</v>
      </c>
      <c r="C63" s="297"/>
      <c r="D63" s="116">
        <f>D36</f>
        <v>389.87323277760004</v>
      </c>
    </row>
    <row r="64" spans="1:4" x14ac:dyDescent="0.2">
      <c r="A64" s="110" t="s">
        <v>66</v>
      </c>
      <c r="B64" s="297" t="s">
        <v>67</v>
      </c>
      <c r="C64" s="297"/>
      <c r="D64" s="116">
        <f>D48</f>
        <v>943.99801599999989</v>
      </c>
    </row>
    <row r="65" spans="1:4" x14ac:dyDescent="0.2">
      <c r="A65" s="110" t="s">
        <v>78</v>
      </c>
      <c r="B65" s="297" t="s">
        <v>79</v>
      </c>
      <c r="C65" s="297"/>
      <c r="D65" s="116">
        <f>D59</f>
        <v>754.24256000000003</v>
      </c>
    </row>
    <row r="66" spans="1:4" x14ac:dyDescent="0.2">
      <c r="A66" s="284" t="s">
        <v>58</v>
      </c>
      <c r="B66" s="284"/>
      <c r="C66" s="284"/>
      <c r="D66" s="117">
        <f>SUM(D63:D65)</f>
        <v>2088.1138087775998</v>
      </c>
    </row>
    <row r="67" spans="1:4" x14ac:dyDescent="0.2">
      <c r="A67" s="137"/>
      <c r="B67" s="137"/>
      <c r="C67" s="137"/>
      <c r="D67" s="138"/>
    </row>
    <row r="68" spans="1:4" x14ac:dyDescent="0.2">
      <c r="A68" s="294" t="s">
        <v>137</v>
      </c>
      <c r="B68" s="294"/>
      <c r="C68" s="294"/>
      <c r="D68" s="294"/>
    </row>
    <row r="69" spans="1:4" x14ac:dyDescent="0.2">
      <c r="A69" s="122">
        <v>3</v>
      </c>
      <c r="B69" s="114" t="s">
        <v>83</v>
      </c>
      <c r="C69" s="114" t="s">
        <v>84</v>
      </c>
      <c r="D69" s="114" t="s">
        <v>56</v>
      </c>
    </row>
    <row r="70" spans="1:4" x14ac:dyDescent="0.2">
      <c r="A70" s="111" t="s">
        <v>33</v>
      </c>
      <c r="B70" s="111" t="s">
        <v>85</v>
      </c>
      <c r="C70" s="139">
        <v>4.1700000000000001E-3</v>
      </c>
      <c r="D70" s="140">
        <f>D27*C70</f>
        <v>10.69693404</v>
      </c>
    </row>
    <row r="71" spans="1:4" x14ac:dyDescent="0.2">
      <c r="A71" s="111" t="s">
        <v>35</v>
      </c>
      <c r="B71" s="111" t="s">
        <v>86</v>
      </c>
      <c r="C71" s="141">
        <v>3.3399999999999999E-4</v>
      </c>
      <c r="D71" s="142">
        <f>D27*C71</f>
        <v>0.856780808</v>
      </c>
    </row>
    <row r="72" spans="1:4" x14ac:dyDescent="0.2">
      <c r="A72" s="63" t="s">
        <v>38</v>
      </c>
      <c r="B72" s="63" t="s">
        <v>87</v>
      </c>
      <c r="C72" s="143">
        <v>1.6000000000000001E-3</v>
      </c>
      <c r="D72" s="144">
        <f>SUM(D27+D34)*C72</f>
        <v>4.5603312851200002</v>
      </c>
    </row>
    <row r="73" spans="1:4" x14ac:dyDescent="0.2">
      <c r="A73" s="111" t="s">
        <v>57</v>
      </c>
      <c r="B73" s="111" t="s">
        <v>88</v>
      </c>
      <c r="C73" s="145">
        <v>1.84E-2</v>
      </c>
      <c r="D73" s="140">
        <f>D27*C73</f>
        <v>47.199900800000002</v>
      </c>
    </row>
    <row r="74" spans="1:4" x14ac:dyDescent="0.2">
      <c r="A74" s="110" t="s">
        <v>41</v>
      </c>
      <c r="B74" s="110" t="s">
        <v>89</v>
      </c>
      <c r="C74" s="146">
        <v>5.4000000000000003E-3</v>
      </c>
      <c r="D74" s="147">
        <f>D27*C74</f>
        <v>13.852144800000001</v>
      </c>
    </row>
    <row r="75" spans="1:4" x14ac:dyDescent="0.2">
      <c r="A75" s="63" t="s">
        <v>42</v>
      </c>
      <c r="B75" s="63" t="s">
        <v>90</v>
      </c>
      <c r="C75" s="143">
        <v>3.04E-2</v>
      </c>
      <c r="D75" s="144">
        <f>(D27+D34)*C75</f>
        <v>86.646294417279989</v>
      </c>
    </row>
    <row r="76" spans="1:4" x14ac:dyDescent="0.2">
      <c r="A76" s="293" t="s">
        <v>58</v>
      </c>
      <c r="B76" s="293"/>
      <c r="C76" s="293"/>
      <c r="D76" s="121">
        <f>SUM(D70:D75)</f>
        <v>163.81238615039999</v>
      </c>
    </row>
    <row r="77" spans="1:4" x14ac:dyDescent="0.2">
      <c r="A77" s="148"/>
      <c r="B77" s="148"/>
      <c r="C77" s="148"/>
      <c r="D77" s="149"/>
    </row>
    <row r="78" spans="1:4" x14ac:dyDescent="0.2">
      <c r="A78" s="295" t="s">
        <v>132</v>
      </c>
      <c r="B78" s="295"/>
      <c r="C78" s="295"/>
      <c r="D78" s="295"/>
    </row>
    <row r="79" spans="1:4" x14ac:dyDescent="0.2">
      <c r="A79" s="111" t="s">
        <v>33</v>
      </c>
      <c r="B79" s="111" t="s">
        <v>133</v>
      </c>
      <c r="C79" s="122"/>
      <c r="D79" s="121">
        <f>D27</f>
        <v>2565.212</v>
      </c>
    </row>
    <row r="80" spans="1:4" x14ac:dyDescent="0.2">
      <c r="A80" s="111" t="s">
        <v>35</v>
      </c>
      <c r="B80" s="111" t="s">
        <v>117</v>
      </c>
      <c r="C80" s="122"/>
      <c r="D80" s="121">
        <f>D66</f>
        <v>2088.1138087775998</v>
      </c>
    </row>
    <row r="81" spans="1:4" x14ac:dyDescent="0.2">
      <c r="A81" s="63" t="s">
        <v>38</v>
      </c>
      <c r="B81" s="63" t="s">
        <v>134</v>
      </c>
      <c r="C81" s="150">
        <f>D79/12</f>
        <v>213.76766666666666</v>
      </c>
      <c r="D81" s="150">
        <f>C81*C48+C81</f>
        <v>292.434168</v>
      </c>
    </row>
    <row r="82" spans="1:4" x14ac:dyDescent="0.2">
      <c r="A82" s="111" t="s">
        <v>57</v>
      </c>
      <c r="B82" s="111" t="s">
        <v>118</v>
      </c>
      <c r="C82" s="122"/>
      <c r="D82" s="121">
        <f>D76</f>
        <v>163.81238615039999</v>
      </c>
    </row>
    <row r="83" spans="1:4" x14ac:dyDescent="0.2">
      <c r="A83" s="111" t="s">
        <v>41</v>
      </c>
      <c r="B83" s="111" t="s">
        <v>135</v>
      </c>
      <c r="C83" s="122"/>
      <c r="D83" s="168">
        <f>-(D52+D53)</f>
        <v>-524.56560000000002</v>
      </c>
    </row>
    <row r="84" spans="1:4" x14ac:dyDescent="0.2">
      <c r="A84" s="293" t="s">
        <v>136</v>
      </c>
      <c r="B84" s="293"/>
      <c r="C84" s="293"/>
      <c r="D84" s="121">
        <f>SUM(D79:D83)</f>
        <v>4585.0067629279993</v>
      </c>
    </row>
    <row r="85" spans="1:4" ht="13.5" thickBot="1" x14ac:dyDescent="0.25">
      <c r="A85" s="148"/>
      <c r="B85" s="148"/>
      <c r="C85" s="148"/>
      <c r="D85" s="148"/>
    </row>
    <row r="86" spans="1:4" ht="13.5" thickBot="1" x14ac:dyDescent="0.25">
      <c r="A86" s="280" t="s">
        <v>91</v>
      </c>
      <c r="B86" s="280"/>
      <c r="C86" s="280"/>
      <c r="D86" s="280"/>
    </row>
    <row r="87" spans="1:4" x14ac:dyDescent="0.2">
      <c r="A87" s="296" t="s">
        <v>92</v>
      </c>
      <c r="B87" s="296"/>
      <c r="C87" s="296"/>
      <c r="D87" s="296"/>
    </row>
    <row r="88" spans="1:4" x14ac:dyDescent="0.2">
      <c r="A88" s="114" t="s">
        <v>93</v>
      </c>
      <c r="B88" s="114" t="s">
        <v>94</v>
      </c>
      <c r="C88" s="114" t="s">
        <v>84</v>
      </c>
      <c r="D88" s="114" t="s">
        <v>56</v>
      </c>
    </row>
    <row r="89" spans="1:4" x14ac:dyDescent="0.2">
      <c r="A89" s="111" t="s">
        <v>33</v>
      </c>
      <c r="B89" s="110" t="s">
        <v>95</v>
      </c>
      <c r="C89" s="123">
        <v>8.3299999999999999E-2</v>
      </c>
      <c r="D89" s="119">
        <f>D84*C89</f>
        <v>381.93106335190231</v>
      </c>
    </row>
    <row r="90" spans="1:4" x14ac:dyDescent="0.2">
      <c r="A90" s="111" t="s">
        <v>35</v>
      </c>
      <c r="B90" s="110" t="s">
        <v>138</v>
      </c>
      <c r="C90" s="151">
        <v>2.2200000000000002E-3</v>
      </c>
      <c r="D90" s="119">
        <f>D84*C90</f>
        <v>10.17871501370016</v>
      </c>
    </row>
    <row r="91" spans="1:4" x14ac:dyDescent="0.2">
      <c r="A91" s="111" t="s">
        <v>38</v>
      </c>
      <c r="B91" s="110" t="s">
        <v>96</v>
      </c>
      <c r="C91" s="151">
        <v>2.0000000000000001E-4</v>
      </c>
      <c r="D91" s="119">
        <f>D84*C91</f>
        <v>0.91700135258559989</v>
      </c>
    </row>
    <row r="92" spans="1:4" x14ac:dyDescent="0.2">
      <c r="A92" s="111" t="s">
        <v>57</v>
      </c>
      <c r="B92" s="110" t="s">
        <v>97</v>
      </c>
      <c r="C92" s="151">
        <v>2.7999999999999998E-4</v>
      </c>
      <c r="D92" s="119">
        <f>D84*C92</f>
        <v>1.2838018936198397</v>
      </c>
    </row>
    <row r="93" spans="1:4" x14ac:dyDescent="0.2">
      <c r="A93" s="111"/>
      <c r="B93" s="110" t="s">
        <v>139</v>
      </c>
      <c r="C93" s="151">
        <v>3.5999999999999999E-3</v>
      </c>
      <c r="D93" s="119">
        <f>D84*C93</f>
        <v>16.506024346540798</v>
      </c>
    </row>
    <row r="94" spans="1:4" x14ac:dyDescent="0.2">
      <c r="A94" s="111" t="s">
        <v>41</v>
      </c>
      <c r="B94" s="110" t="s">
        <v>98</v>
      </c>
      <c r="C94" s="151">
        <v>3.8999999999999999E-4</v>
      </c>
      <c r="D94" s="119">
        <f>D84*C94</f>
        <v>1.7881526375419197</v>
      </c>
    </row>
    <row r="95" spans="1:4" x14ac:dyDescent="0.2">
      <c r="A95" s="111" t="s">
        <v>42</v>
      </c>
      <c r="B95" s="110" t="s">
        <v>126</v>
      </c>
      <c r="C95" s="146"/>
      <c r="D95" s="119">
        <f>(($D$27+$D$66+$D$76)-$D$52)*C95</f>
        <v>0</v>
      </c>
    </row>
    <row r="96" spans="1:4" x14ac:dyDescent="0.2">
      <c r="A96" s="122" t="s">
        <v>58</v>
      </c>
      <c r="B96" s="122"/>
      <c r="C96" s="122"/>
      <c r="D96" s="121">
        <f>SUM(D89:D95)</f>
        <v>412.6047585958907</v>
      </c>
    </row>
    <row r="97" spans="1:4" x14ac:dyDescent="0.2">
      <c r="A97" s="290" t="s">
        <v>99</v>
      </c>
      <c r="B97" s="291"/>
      <c r="C97" s="291"/>
      <c r="D97" s="292"/>
    </row>
    <row r="98" spans="1:4" x14ac:dyDescent="0.2">
      <c r="A98" s="122" t="s">
        <v>100</v>
      </c>
      <c r="B98" s="111" t="s">
        <v>101</v>
      </c>
      <c r="C98" s="111"/>
      <c r="D98" s="114" t="s">
        <v>56</v>
      </c>
    </row>
    <row r="99" spans="1:4" x14ac:dyDescent="0.2">
      <c r="A99" s="111" t="s">
        <v>33</v>
      </c>
      <c r="B99" s="111" t="s">
        <v>102</v>
      </c>
      <c r="C99" s="111"/>
      <c r="D99" s="119">
        <v>0</v>
      </c>
    </row>
    <row r="100" spans="1:4" x14ac:dyDescent="0.2">
      <c r="A100" s="122" t="s">
        <v>58</v>
      </c>
      <c r="B100" s="122"/>
      <c r="C100" s="122"/>
      <c r="D100" s="121"/>
    </row>
    <row r="101" spans="1:4" x14ac:dyDescent="0.2">
      <c r="A101" s="125"/>
      <c r="B101" s="125"/>
      <c r="C101" s="125"/>
      <c r="D101" s="125"/>
    </row>
    <row r="102" spans="1:4" x14ac:dyDescent="0.2">
      <c r="A102" s="287" t="s">
        <v>103</v>
      </c>
      <c r="B102" s="288"/>
      <c r="C102" s="288"/>
      <c r="D102" s="289"/>
    </row>
    <row r="103" spans="1:4" x14ac:dyDescent="0.2">
      <c r="A103" s="114">
        <v>4</v>
      </c>
      <c r="B103" s="152" t="s">
        <v>104</v>
      </c>
      <c r="C103" s="153"/>
      <c r="D103" s="114" t="s">
        <v>56</v>
      </c>
    </row>
    <row r="104" spans="1:4" x14ac:dyDescent="0.2">
      <c r="A104" s="110" t="s">
        <v>93</v>
      </c>
      <c r="B104" s="154" t="s">
        <v>94</v>
      </c>
      <c r="C104" s="155"/>
      <c r="D104" s="156">
        <f>D96</f>
        <v>412.6047585958907</v>
      </c>
    </row>
    <row r="105" spans="1:4" x14ac:dyDescent="0.2">
      <c r="A105" s="110" t="s">
        <v>100</v>
      </c>
      <c r="B105" s="154" t="s">
        <v>101</v>
      </c>
      <c r="C105" s="155"/>
      <c r="D105" s="119">
        <f>D100</f>
        <v>0</v>
      </c>
    </row>
    <row r="106" spans="1:4" x14ac:dyDescent="0.2">
      <c r="A106" s="157" t="s">
        <v>58</v>
      </c>
      <c r="B106" s="158"/>
      <c r="C106" s="159"/>
      <c r="D106" s="121">
        <f>SUM(D104:D105)</f>
        <v>412.6047585958907</v>
      </c>
    </row>
    <row r="107" spans="1:4" x14ac:dyDescent="0.2">
      <c r="A107" s="62" t="s">
        <v>54</v>
      </c>
      <c r="B107" s="62"/>
      <c r="C107" s="62"/>
      <c r="D107" s="62"/>
    </row>
    <row r="108" spans="1:4" x14ac:dyDescent="0.2">
      <c r="A108" s="287" t="s">
        <v>105</v>
      </c>
      <c r="B108" s="288"/>
      <c r="C108" s="288"/>
      <c r="D108" s="289"/>
    </row>
    <row r="109" spans="1:4" x14ac:dyDescent="0.2">
      <c r="A109" s="114">
        <v>5</v>
      </c>
      <c r="B109" s="114" t="s">
        <v>106</v>
      </c>
      <c r="C109" s="114"/>
      <c r="D109" s="114" t="s">
        <v>56</v>
      </c>
    </row>
    <row r="110" spans="1:4" x14ac:dyDescent="0.2">
      <c r="A110" s="132" t="s">
        <v>33</v>
      </c>
      <c r="B110" s="160" t="s">
        <v>141</v>
      </c>
      <c r="C110" s="160"/>
      <c r="D110" s="136">
        <v>126.1</v>
      </c>
    </row>
    <row r="111" spans="1:4" x14ac:dyDescent="0.2">
      <c r="A111" s="110" t="s">
        <v>35</v>
      </c>
      <c r="B111" s="110" t="s">
        <v>164</v>
      </c>
      <c r="C111" s="114"/>
      <c r="D111" s="116">
        <v>0</v>
      </c>
    </row>
    <row r="112" spans="1:4" x14ac:dyDescent="0.2">
      <c r="A112" s="114" t="s">
        <v>58</v>
      </c>
      <c r="B112" s="114"/>
      <c r="C112" s="114"/>
      <c r="D112" s="117">
        <f>D110+D111</f>
        <v>126.1</v>
      </c>
    </row>
    <row r="113" spans="1:4" x14ac:dyDescent="0.2">
      <c r="A113" s="301"/>
      <c r="B113" s="301"/>
      <c r="C113" s="301"/>
      <c r="D113" s="301"/>
    </row>
    <row r="114" spans="1:4" x14ac:dyDescent="0.2">
      <c r="A114" s="287" t="s">
        <v>107</v>
      </c>
      <c r="B114" s="288"/>
      <c r="C114" s="288"/>
      <c r="D114" s="289"/>
    </row>
    <row r="115" spans="1:4" x14ac:dyDescent="0.2">
      <c r="A115" s="114">
        <v>6</v>
      </c>
      <c r="B115" s="114" t="s">
        <v>108</v>
      </c>
      <c r="C115" s="114" t="s">
        <v>68</v>
      </c>
      <c r="D115" s="114" t="s">
        <v>56</v>
      </c>
    </row>
    <row r="116" spans="1:4" x14ac:dyDescent="0.2">
      <c r="A116" s="110" t="s">
        <v>33</v>
      </c>
      <c r="B116" s="160" t="s">
        <v>109</v>
      </c>
      <c r="C116" s="161">
        <v>0.05</v>
      </c>
      <c r="D116" s="116">
        <f>C116*D132</f>
        <v>267.79214767619453</v>
      </c>
    </row>
    <row r="117" spans="1:4" x14ac:dyDescent="0.2">
      <c r="A117" s="110" t="s">
        <v>35</v>
      </c>
      <c r="B117" s="160" t="s">
        <v>110</v>
      </c>
      <c r="C117" s="161">
        <v>0.1</v>
      </c>
      <c r="D117" s="116">
        <f>C117*(D116+D132)</f>
        <v>562.36351012000853</v>
      </c>
    </row>
    <row r="118" spans="1:4" x14ac:dyDescent="0.2">
      <c r="A118" s="110" t="s">
        <v>38</v>
      </c>
      <c r="B118" s="160" t="s">
        <v>111</v>
      </c>
      <c r="C118" s="162">
        <v>6.1499999999999999E-2</v>
      </c>
      <c r="D118" s="116">
        <f>(D27+D66+D76+D106+D111+D116+D117)*(C119+C120+C121)/(1-(C119+C120+C121))</f>
        <v>397.10576941522191</v>
      </c>
    </row>
    <row r="119" spans="1:4" x14ac:dyDescent="0.2">
      <c r="A119" s="110"/>
      <c r="B119" s="132" t="s">
        <v>112</v>
      </c>
      <c r="C119" s="162">
        <v>6.4999999999999997E-3</v>
      </c>
      <c r="D119" s="116">
        <f>C119*D134</f>
        <v>42.790178474779545</v>
      </c>
    </row>
    <row r="120" spans="1:4" x14ac:dyDescent="0.2">
      <c r="A120" s="110"/>
      <c r="B120" s="132" t="s">
        <v>113</v>
      </c>
      <c r="C120" s="162">
        <v>0.03</v>
      </c>
      <c r="D120" s="116">
        <f>C120*D134</f>
        <v>197.49313142205946</v>
      </c>
    </row>
    <row r="121" spans="1:4" x14ac:dyDescent="0.2">
      <c r="A121" s="110"/>
      <c r="B121" s="110" t="s">
        <v>114</v>
      </c>
      <c r="C121" s="163">
        <v>2.5000000000000001E-2</v>
      </c>
      <c r="D121" s="116">
        <f>C121*D134</f>
        <v>164.5776095183829</v>
      </c>
    </row>
    <row r="122" spans="1:4" x14ac:dyDescent="0.2">
      <c r="A122" s="114" t="s">
        <v>58</v>
      </c>
      <c r="B122" s="114"/>
      <c r="C122" s="114"/>
      <c r="D122" s="117">
        <f>SUM(D116:D118)</f>
        <v>1227.2614272114249</v>
      </c>
    </row>
    <row r="123" spans="1:4" x14ac:dyDescent="0.2">
      <c r="A123" s="62"/>
      <c r="B123" s="62"/>
      <c r="C123" s="62"/>
      <c r="D123" s="62"/>
    </row>
    <row r="124" spans="1:4" x14ac:dyDescent="0.2">
      <c r="A124" s="321" t="s">
        <v>115</v>
      </c>
      <c r="B124" s="322"/>
      <c r="C124" s="322"/>
      <c r="D124" s="323"/>
    </row>
    <row r="125" spans="1:4" x14ac:dyDescent="0.2">
      <c r="A125" s="62" t="s">
        <v>54</v>
      </c>
      <c r="B125" s="62"/>
      <c r="C125" s="62"/>
      <c r="D125" s="62"/>
    </row>
    <row r="126" spans="1:4" x14ac:dyDescent="0.2">
      <c r="A126" s="110"/>
      <c r="B126" s="114" t="s">
        <v>116</v>
      </c>
      <c r="C126" s="114"/>
      <c r="D126" s="114" t="s">
        <v>56</v>
      </c>
    </row>
    <row r="127" spans="1:4" x14ac:dyDescent="0.2">
      <c r="A127" s="110" t="s">
        <v>33</v>
      </c>
      <c r="B127" s="285" t="s">
        <v>53</v>
      </c>
      <c r="C127" s="286"/>
      <c r="D127" s="116">
        <f>D27</f>
        <v>2565.212</v>
      </c>
    </row>
    <row r="128" spans="1:4" x14ac:dyDescent="0.2">
      <c r="A128" s="110" t="s">
        <v>35</v>
      </c>
      <c r="B128" s="285" t="s">
        <v>117</v>
      </c>
      <c r="C128" s="286"/>
      <c r="D128" s="116">
        <f>D66</f>
        <v>2088.1138087775998</v>
      </c>
    </row>
    <row r="129" spans="1:4" x14ac:dyDescent="0.2">
      <c r="A129" s="110" t="s">
        <v>38</v>
      </c>
      <c r="B129" s="285" t="s">
        <v>118</v>
      </c>
      <c r="C129" s="286"/>
      <c r="D129" s="116">
        <f>D76</f>
        <v>163.81238615039999</v>
      </c>
    </row>
    <row r="130" spans="1:4" x14ac:dyDescent="0.2">
      <c r="A130" s="110" t="s">
        <v>57</v>
      </c>
      <c r="B130" s="285" t="s">
        <v>119</v>
      </c>
      <c r="C130" s="286"/>
      <c r="D130" s="116">
        <f>D106</f>
        <v>412.6047585958907</v>
      </c>
    </row>
    <row r="131" spans="1:4" x14ac:dyDescent="0.2">
      <c r="A131" s="110" t="s">
        <v>41</v>
      </c>
      <c r="B131" s="285" t="s">
        <v>120</v>
      </c>
      <c r="C131" s="286"/>
      <c r="D131" s="116">
        <f>D112</f>
        <v>126.1</v>
      </c>
    </row>
    <row r="132" spans="1:4" x14ac:dyDescent="0.2">
      <c r="A132" s="281" t="s">
        <v>121</v>
      </c>
      <c r="B132" s="282"/>
      <c r="C132" s="283"/>
      <c r="D132" s="117">
        <f>SUM(D127:D131)</f>
        <v>5355.8429535238902</v>
      </c>
    </row>
    <row r="133" spans="1:4" x14ac:dyDescent="0.2">
      <c r="A133" s="110" t="s">
        <v>42</v>
      </c>
      <c r="B133" s="285" t="s">
        <v>122</v>
      </c>
      <c r="C133" s="286"/>
      <c r="D133" s="116">
        <f>D122</f>
        <v>1227.2614272114249</v>
      </c>
    </row>
    <row r="134" spans="1:4" x14ac:dyDescent="0.2">
      <c r="A134" s="298" t="s">
        <v>123</v>
      </c>
      <c r="B134" s="299"/>
      <c r="C134" s="300"/>
      <c r="D134" s="121">
        <f>SUM(D132+D133)</f>
        <v>6583.1043807353153</v>
      </c>
    </row>
    <row r="135" spans="1:4" x14ac:dyDescent="0.2">
      <c r="A135" s="148"/>
      <c r="B135" s="148"/>
      <c r="C135" s="148"/>
      <c r="D135" s="149"/>
    </row>
    <row r="136" spans="1:4" x14ac:dyDescent="0.2">
      <c r="A136" s="148"/>
      <c r="B136" s="148"/>
      <c r="C136" s="122" t="s">
        <v>129</v>
      </c>
      <c r="D136" s="122">
        <v>2</v>
      </c>
    </row>
    <row r="137" spans="1:4" x14ac:dyDescent="0.2">
      <c r="A137" s="62"/>
      <c r="B137" s="62"/>
      <c r="C137" s="111" t="s">
        <v>124</v>
      </c>
      <c r="D137" s="164">
        <f>D136*D134</f>
        <v>13166.208761470631</v>
      </c>
    </row>
    <row r="138" spans="1:4" x14ac:dyDescent="0.2">
      <c r="A138" s="62"/>
      <c r="B138" s="62"/>
      <c r="C138" s="122" t="s">
        <v>128</v>
      </c>
      <c r="D138" s="165">
        <v>12</v>
      </c>
    </row>
    <row r="139" spans="1:4" x14ac:dyDescent="0.2">
      <c r="A139" s="62"/>
      <c r="B139" s="62"/>
      <c r="C139" s="111" t="s">
        <v>125</v>
      </c>
      <c r="D139" s="166">
        <f>D138*D137</f>
        <v>157994.50513764756</v>
      </c>
    </row>
  </sheetData>
  <mergeCells count="62">
    <mergeCell ref="B133:C133"/>
    <mergeCell ref="A134:C134"/>
    <mergeCell ref="B127:C127"/>
    <mergeCell ref="B128:C128"/>
    <mergeCell ref="B129:C129"/>
    <mergeCell ref="B130:C130"/>
    <mergeCell ref="B131:C131"/>
    <mergeCell ref="A132:C132"/>
    <mergeCell ref="A124:D124"/>
    <mergeCell ref="A68:D68"/>
    <mergeCell ref="A76:C76"/>
    <mergeCell ref="A78:D78"/>
    <mergeCell ref="A84:C84"/>
    <mergeCell ref="A86:D86"/>
    <mergeCell ref="A87:D87"/>
    <mergeCell ref="A97:D97"/>
    <mergeCell ref="A102:D102"/>
    <mergeCell ref="A108:D108"/>
    <mergeCell ref="A113:D113"/>
    <mergeCell ref="A114:D114"/>
    <mergeCell ref="A66:C66"/>
    <mergeCell ref="A38:D38"/>
    <mergeCell ref="A49:D49"/>
    <mergeCell ref="A50:D50"/>
    <mergeCell ref="B51:C51"/>
    <mergeCell ref="A59:C59"/>
    <mergeCell ref="A60:D60"/>
    <mergeCell ref="A61:D61"/>
    <mergeCell ref="B62:C62"/>
    <mergeCell ref="B63:C63"/>
    <mergeCell ref="B64:C64"/>
    <mergeCell ref="B65:C65"/>
    <mergeCell ref="A37:D37"/>
    <mergeCell ref="B20:C20"/>
    <mergeCell ref="B21:C21"/>
    <mergeCell ref="A23:D23"/>
    <mergeCell ref="B24:C24"/>
    <mergeCell ref="A27:C27"/>
    <mergeCell ref="A29:D29"/>
    <mergeCell ref="A30:D30"/>
    <mergeCell ref="B31:C31"/>
    <mergeCell ref="A34:B34"/>
    <mergeCell ref="A35:B35"/>
    <mergeCell ref="A36:C36"/>
    <mergeCell ref="B19:C19"/>
    <mergeCell ref="B8:C8"/>
    <mergeCell ref="B9:C9"/>
    <mergeCell ref="B11:C11"/>
    <mergeCell ref="B12:C12"/>
    <mergeCell ref="A13:D13"/>
    <mergeCell ref="A14:D14"/>
    <mergeCell ref="A15:C15"/>
    <mergeCell ref="A16:C16"/>
    <mergeCell ref="A17:D17"/>
    <mergeCell ref="A18:D18"/>
    <mergeCell ref="B10:C10"/>
    <mergeCell ref="B7:C7"/>
    <mergeCell ref="A1:D1"/>
    <mergeCell ref="A2:D2"/>
    <mergeCell ref="A3:D3"/>
    <mergeCell ref="A4:C4"/>
    <mergeCell ref="A6:D6"/>
  </mergeCells>
  <pageMargins left="0.25" right="0.25" top="0.75" bottom="0.75" header="0.3" footer="0.3"/>
  <pageSetup paperSize="9" scale="95" fitToHeight="0"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38BF-4F7D-4DC0-99D1-13063B62B657}">
  <dimension ref="A1:D141"/>
  <sheetViews>
    <sheetView workbookViewId="0">
      <selection sqref="A1:D1"/>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49" t="s">
        <v>31</v>
      </c>
      <c r="B4" s="350"/>
      <c r="C4" s="350"/>
      <c r="D4" s="105"/>
    </row>
    <row r="5" spans="1:4" x14ac:dyDescent="0.2">
      <c r="A5" s="106"/>
      <c r="B5" s="107"/>
      <c r="C5" s="107"/>
      <c r="D5" s="107"/>
    </row>
    <row r="6" spans="1:4" ht="13.5" thickBot="1" x14ac:dyDescent="0.25">
      <c r="A6" s="320" t="s">
        <v>32</v>
      </c>
      <c r="B6" s="320"/>
      <c r="C6" s="320"/>
      <c r="D6" s="320"/>
    </row>
    <row r="7" spans="1:4" x14ac:dyDescent="0.2">
      <c r="A7" s="108" t="s">
        <v>33</v>
      </c>
      <c r="B7" s="351" t="s">
        <v>34</v>
      </c>
      <c r="C7" s="351"/>
      <c r="D7" s="109"/>
    </row>
    <row r="8" spans="1:4" x14ac:dyDescent="0.2">
      <c r="A8" s="110" t="s">
        <v>35</v>
      </c>
      <c r="B8" s="329" t="s">
        <v>36</v>
      </c>
      <c r="C8" s="329"/>
      <c r="D8" s="111" t="s">
        <v>37</v>
      </c>
    </row>
    <row r="9" spans="1:4" x14ac:dyDescent="0.2">
      <c r="A9" s="112" t="s">
        <v>38</v>
      </c>
      <c r="B9" s="277" t="s">
        <v>39</v>
      </c>
      <c r="C9" s="277"/>
      <c r="D9" s="182" t="s">
        <v>261</v>
      </c>
    </row>
    <row r="10" spans="1:4" x14ac:dyDescent="0.2">
      <c r="A10" s="112" t="s">
        <v>57</v>
      </c>
      <c r="B10" s="273" t="s">
        <v>197</v>
      </c>
      <c r="C10" s="275"/>
      <c r="D10" s="111" t="s">
        <v>260</v>
      </c>
    </row>
    <row r="11" spans="1:4" x14ac:dyDescent="0.2">
      <c r="A11" s="112" t="s">
        <v>41</v>
      </c>
      <c r="B11" s="277" t="s">
        <v>40</v>
      </c>
      <c r="C11" s="277"/>
      <c r="D11" s="169">
        <v>45707</v>
      </c>
    </row>
    <row r="12" spans="1:4" x14ac:dyDescent="0.2">
      <c r="A12" s="112" t="s">
        <v>42</v>
      </c>
      <c r="B12" s="277" t="s">
        <v>45</v>
      </c>
      <c r="C12" s="277"/>
      <c r="D12" s="111" t="s">
        <v>46</v>
      </c>
    </row>
    <row r="13" spans="1:4" x14ac:dyDescent="0.2">
      <c r="A13" s="277"/>
      <c r="B13" s="277"/>
      <c r="C13" s="277"/>
      <c r="D13" s="277"/>
    </row>
    <row r="14" spans="1:4" ht="13.5" thickBot="1" x14ac:dyDescent="0.25">
      <c r="A14" s="276" t="s">
        <v>47</v>
      </c>
      <c r="B14" s="276"/>
      <c r="C14" s="276"/>
      <c r="D14" s="276"/>
    </row>
    <row r="15" spans="1:4" x14ac:dyDescent="0.2">
      <c r="A15" s="277" t="s">
        <v>48</v>
      </c>
      <c r="B15" s="277"/>
      <c r="C15" s="277"/>
      <c r="D15" s="112" t="s">
        <v>308</v>
      </c>
    </row>
    <row r="16" spans="1:4" x14ac:dyDescent="0.2">
      <c r="A16" s="277" t="s">
        <v>150</v>
      </c>
      <c r="B16" s="277"/>
      <c r="C16" s="277"/>
      <c r="D16" s="111" t="s">
        <v>217</v>
      </c>
    </row>
    <row r="17" spans="1:4" x14ac:dyDescent="0.2">
      <c r="A17" s="274"/>
      <c r="B17" s="274"/>
      <c r="C17" s="274"/>
      <c r="D17" s="275"/>
    </row>
    <row r="18" spans="1:4" ht="13.5" thickBot="1" x14ac:dyDescent="0.25">
      <c r="A18" s="276" t="s">
        <v>49</v>
      </c>
      <c r="B18" s="276"/>
      <c r="C18" s="276"/>
      <c r="D18" s="276"/>
    </row>
    <row r="19" spans="1:4" x14ac:dyDescent="0.2">
      <c r="A19" s="110">
        <v>3</v>
      </c>
      <c r="B19" s="278" t="s">
        <v>50</v>
      </c>
      <c r="C19" s="279"/>
      <c r="D19" s="113">
        <v>1973.24</v>
      </c>
    </row>
    <row r="20" spans="1:4" x14ac:dyDescent="0.2">
      <c r="A20" s="112">
        <v>4</v>
      </c>
      <c r="B20" s="277" t="s">
        <v>51</v>
      </c>
      <c r="C20" s="277"/>
      <c r="D20" s="112" t="s">
        <v>310</v>
      </c>
    </row>
    <row r="21" spans="1:4" x14ac:dyDescent="0.2">
      <c r="A21" s="112">
        <v>6</v>
      </c>
      <c r="B21" s="277" t="s">
        <v>52</v>
      </c>
      <c r="C21" s="277"/>
      <c r="D21" s="113">
        <v>1518</v>
      </c>
    </row>
    <row r="22" spans="1:4" ht="13.5" thickBot="1" x14ac:dyDescent="0.25">
      <c r="A22" s="62"/>
      <c r="B22" s="62"/>
      <c r="C22" s="62"/>
      <c r="D22" s="62"/>
    </row>
    <row r="23" spans="1:4" ht="13.5" thickBot="1" x14ac:dyDescent="0.25">
      <c r="A23" s="280" t="s">
        <v>53</v>
      </c>
      <c r="B23" s="280"/>
      <c r="C23" s="280"/>
      <c r="D23" s="280"/>
    </row>
    <row r="24" spans="1:4" x14ac:dyDescent="0.2">
      <c r="A24" s="114">
        <v>1</v>
      </c>
      <c r="B24" s="284" t="s">
        <v>55</v>
      </c>
      <c r="C24" s="284"/>
      <c r="D24" s="114" t="s">
        <v>56</v>
      </c>
    </row>
    <row r="25" spans="1:4" x14ac:dyDescent="0.2">
      <c r="A25" s="110" t="s">
        <v>33</v>
      </c>
      <c r="B25" s="110" t="s">
        <v>191</v>
      </c>
      <c r="C25" s="110"/>
      <c r="D25" s="116">
        <f>D19</f>
        <v>1973.24</v>
      </c>
    </row>
    <row r="26" spans="1:4" x14ac:dyDescent="0.2">
      <c r="A26" s="110" t="s">
        <v>35</v>
      </c>
      <c r="B26" s="110" t="s">
        <v>171</v>
      </c>
      <c r="C26" s="110"/>
      <c r="D26" s="116">
        <f>D25*0.3</f>
        <v>591.97199999999998</v>
      </c>
    </row>
    <row r="27" spans="1:4" x14ac:dyDescent="0.2">
      <c r="A27" s="110" t="s">
        <v>38</v>
      </c>
      <c r="B27" s="110" t="s">
        <v>229</v>
      </c>
      <c r="C27" s="116">
        <f>D25+D26</f>
        <v>2565.212</v>
      </c>
      <c r="D27" s="116">
        <f>C28*9/12</f>
        <v>384.78180000000003</v>
      </c>
    </row>
    <row r="28" spans="1:4" x14ac:dyDescent="0.2">
      <c r="A28" s="110" t="s">
        <v>57</v>
      </c>
      <c r="B28" s="110" t="s">
        <v>209</v>
      </c>
      <c r="C28" s="116">
        <f>C27*20%</f>
        <v>513.04240000000004</v>
      </c>
      <c r="D28" s="116">
        <f>C27*1.2/12</f>
        <v>256.52119999999996</v>
      </c>
    </row>
    <row r="29" spans="1:4" x14ac:dyDescent="0.2">
      <c r="A29" s="284" t="s">
        <v>58</v>
      </c>
      <c r="B29" s="284"/>
      <c r="C29" s="284"/>
      <c r="D29" s="117">
        <f>SUM(D25:D28)</f>
        <v>3206.5150000000003</v>
      </c>
    </row>
    <row r="30" spans="1:4" ht="13.5" thickBot="1" x14ac:dyDescent="0.25">
      <c r="A30" s="62" t="s">
        <v>54</v>
      </c>
      <c r="B30" s="62"/>
      <c r="C30" s="62"/>
      <c r="D30" s="62"/>
    </row>
    <row r="31" spans="1:4" ht="13.5" thickBot="1" x14ac:dyDescent="0.25">
      <c r="A31" s="280" t="s">
        <v>59</v>
      </c>
      <c r="B31" s="280"/>
      <c r="C31" s="280"/>
      <c r="D31" s="280"/>
    </row>
    <row r="32" spans="1:4" x14ac:dyDescent="0.2">
      <c r="A32" s="312" t="s">
        <v>60</v>
      </c>
      <c r="B32" s="312"/>
      <c r="C32" s="312"/>
      <c r="D32" s="312"/>
    </row>
    <row r="33" spans="1:4" x14ac:dyDescent="0.2">
      <c r="A33" s="114" t="s">
        <v>61</v>
      </c>
      <c r="B33" s="284" t="s">
        <v>62</v>
      </c>
      <c r="C33" s="284"/>
      <c r="D33" s="114" t="s">
        <v>56</v>
      </c>
    </row>
    <row r="34" spans="1:4" x14ac:dyDescent="0.2">
      <c r="A34" s="111" t="s">
        <v>33</v>
      </c>
      <c r="B34" s="111" t="s">
        <v>63</v>
      </c>
      <c r="C34" s="118">
        <v>8.3299999999999999E-2</v>
      </c>
      <c r="D34" s="119">
        <f>C34*D29</f>
        <v>267.10269950000003</v>
      </c>
    </row>
    <row r="35" spans="1:4" x14ac:dyDescent="0.2">
      <c r="A35" s="111" t="s">
        <v>35</v>
      </c>
      <c r="B35" s="111" t="s">
        <v>64</v>
      </c>
      <c r="C35" s="118">
        <v>2.7799999999999998E-2</v>
      </c>
      <c r="D35" s="119">
        <f>SUM(D29*C35)</f>
        <v>89.141117000000008</v>
      </c>
    </row>
    <row r="36" spans="1:4" x14ac:dyDescent="0.2">
      <c r="A36" s="305" t="s">
        <v>131</v>
      </c>
      <c r="B36" s="306"/>
      <c r="C36" s="120">
        <f>SUM(C34+C35)</f>
        <v>0.1111</v>
      </c>
      <c r="D36" s="121">
        <f>SUM(D34:D35)</f>
        <v>356.24381650000004</v>
      </c>
    </row>
    <row r="37" spans="1:4" x14ac:dyDescent="0.2">
      <c r="A37" s="313" t="s">
        <v>130</v>
      </c>
      <c r="B37" s="293"/>
      <c r="C37" s="123">
        <f>SUM(C42:C49)</f>
        <v>0.36800000000000005</v>
      </c>
      <c r="D37" s="119">
        <f>SUM(D36*C37)</f>
        <v>131.09772447200004</v>
      </c>
    </row>
    <row r="38" spans="1:4" x14ac:dyDescent="0.2">
      <c r="A38" s="307" t="s">
        <v>58</v>
      </c>
      <c r="B38" s="308"/>
      <c r="C38" s="309"/>
      <c r="D38" s="124">
        <f>SUM(D36+D37)</f>
        <v>487.34154097200008</v>
      </c>
    </row>
    <row r="39" spans="1:4" x14ac:dyDescent="0.2">
      <c r="A39" s="304"/>
      <c r="B39" s="304"/>
      <c r="C39" s="304"/>
      <c r="D39" s="304"/>
    </row>
    <row r="40" spans="1:4" x14ac:dyDescent="0.2">
      <c r="A40" s="296" t="s">
        <v>65</v>
      </c>
      <c r="B40" s="296"/>
      <c r="C40" s="296"/>
      <c r="D40" s="296"/>
    </row>
    <row r="41" spans="1:4" x14ac:dyDescent="0.2">
      <c r="A41" s="126" t="s">
        <v>66</v>
      </c>
      <c r="B41" s="126" t="s">
        <v>67</v>
      </c>
      <c r="C41" s="126" t="s">
        <v>68</v>
      </c>
      <c r="D41" s="126" t="s">
        <v>56</v>
      </c>
    </row>
    <row r="42" spans="1:4" x14ac:dyDescent="0.2">
      <c r="A42" s="127" t="s">
        <v>33</v>
      </c>
      <c r="B42" s="127" t="s">
        <v>69</v>
      </c>
      <c r="C42" s="123">
        <v>0.2</v>
      </c>
      <c r="D42" s="116">
        <f>D29*C42</f>
        <v>641.30300000000011</v>
      </c>
    </row>
    <row r="43" spans="1:4" x14ac:dyDescent="0.2">
      <c r="A43" s="127" t="s">
        <v>35</v>
      </c>
      <c r="B43" s="127" t="s">
        <v>70</v>
      </c>
      <c r="C43" s="123">
        <v>2.5000000000000001E-2</v>
      </c>
      <c r="D43" s="116">
        <f>D29*C43</f>
        <v>80.162875000000014</v>
      </c>
    </row>
    <row r="44" spans="1:4" x14ac:dyDescent="0.2">
      <c r="A44" s="127" t="s">
        <v>38</v>
      </c>
      <c r="B44" s="128" t="s">
        <v>71</v>
      </c>
      <c r="C44" s="129">
        <v>0.03</v>
      </c>
      <c r="D44" s="116">
        <f>D29*C44</f>
        <v>96.195450000000008</v>
      </c>
    </row>
    <row r="45" spans="1:4" x14ac:dyDescent="0.2">
      <c r="A45" s="127" t="s">
        <v>57</v>
      </c>
      <c r="B45" s="127" t="s">
        <v>72</v>
      </c>
      <c r="C45" s="123">
        <v>1.4999999999999999E-2</v>
      </c>
      <c r="D45" s="116">
        <f>D29*C45</f>
        <v>48.097725000000004</v>
      </c>
    </row>
    <row r="46" spans="1:4" x14ac:dyDescent="0.2">
      <c r="A46" s="127" t="s">
        <v>41</v>
      </c>
      <c r="B46" s="127" t="s">
        <v>73</v>
      </c>
      <c r="C46" s="123">
        <v>0.01</v>
      </c>
      <c r="D46" s="116">
        <f>D29*C46</f>
        <v>32.065150000000003</v>
      </c>
    </row>
    <row r="47" spans="1:4" x14ac:dyDescent="0.2">
      <c r="A47" s="127" t="s">
        <v>42</v>
      </c>
      <c r="B47" s="127" t="s">
        <v>74</v>
      </c>
      <c r="C47" s="123">
        <v>6.0000000000000001E-3</v>
      </c>
      <c r="D47" s="116">
        <f>D29*C47</f>
        <v>19.239090000000001</v>
      </c>
    </row>
    <row r="48" spans="1:4" x14ac:dyDescent="0.2">
      <c r="A48" s="127" t="s">
        <v>43</v>
      </c>
      <c r="B48" s="127" t="s">
        <v>75</v>
      </c>
      <c r="C48" s="123">
        <v>2E-3</v>
      </c>
      <c r="D48" s="116">
        <f>D29*C48</f>
        <v>6.4130300000000009</v>
      </c>
    </row>
    <row r="49" spans="1:4" x14ac:dyDescent="0.2">
      <c r="A49" s="127" t="s">
        <v>44</v>
      </c>
      <c r="B49" s="127" t="s">
        <v>76</v>
      </c>
      <c r="C49" s="123">
        <v>0.08</v>
      </c>
      <c r="D49" s="116">
        <f>D29*C49</f>
        <v>256.52120000000002</v>
      </c>
    </row>
    <row r="50" spans="1:4" x14ac:dyDescent="0.2">
      <c r="A50" s="127"/>
      <c r="B50" s="126" t="s">
        <v>58</v>
      </c>
      <c r="C50" s="123">
        <f>SUM(C42:C49)</f>
        <v>0.36800000000000005</v>
      </c>
      <c r="D50" s="117">
        <f>SUM(D42:D49)</f>
        <v>1179.9975200000003</v>
      </c>
    </row>
    <row r="51" spans="1:4" x14ac:dyDescent="0.2">
      <c r="A51" s="304"/>
      <c r="B51" s="304"/>
      <c r="C51" s="304"/>
      <c r="D51" s="304"/>
    </row>
    <row r="52" spans="1:4" x14ac:dyDescent="0.2">
      <c r="A52" s="296" t="s">
        <v>77</v>
      </c>
      <c r="B52" s="296"/>
      <c r="C52" s="296"/>
      <c r="D52" s="296"/>
    </row>
    <row r="53" spans="1:4" x14ac:dyDescent="0.2">
      <c r="A53" s="114" t="s">
        <v>78</v>
      </c>
      <c r="B53" s="284" t="s">
        <v>79</v>
      </c>
      <c r="C53" s="284"/>
      <c r="D53" s="114" t="s">
        <v>56</v>
      </c>
    </row>
    <row r="54" spans="1:4" x14ac:dyDescent="0.2">
      <c r="A54" s="110" t="s">
        <v>33</v>
      </c>
      <c r="B54" s="110" t="s">
        <v>140</v>
      </c>
      <c r="C54" s="115">
        <v>5.15</v>
      </c>
      <c r="D54" s="119">
        <f>(2*5.15*15.2) - (D25*6%)</f>
        <v>38.165600000000012</v>
      </c>
    </row>
    <row r="55" spans="1:4" x14ac:dyDescent="0.2">
      <c r="A55" s="110" t="s">
        <v>35</v>
      </c>
      <c r="B55" s="132" t="s">
        <v>172</v>
      </c>
      <c r="C55" s="183">
        <v>40</v>
      </c>
      <c r="D55" s="134">
        <f>(40*15.2)*(0.8)</f>
        <v>486.40000000000003</v>
      </c>
    </row>
    <row r="56" spans="1:4" x14ac:dyDescent="0.2">
      <c r="A56" s="110" t="s">
        <v>38</v>
      </c>
      <c r="B56" s="110" t="s">
        <v>142</v>
      </c>
      <c r="C56" s="130"/>
      <c r="D56" s="119">
        <v>14</v>
      </c>
    </row>
    <row r="57" spans="1:4" x14ac:dyDescent="0.2">
      <c r="A57" s="110" t="s">
        <v>57</v>
      </c>
      <c r="B57" s="110" t="s">
        <v>147</v>
      </c>
      <c r="C57" s="135"/>
      <c r="D57" s="136">
        <f>SUM(D29*7%)</f>
        <v>224.45605000000003</v>
      </c>
    </row>
    <row r="58" spans="1:4" x14ac:dyDescent="0.2">
      <c r="A58" s="110" t="s">
        <v>41</v>
      </c>
      <c r="B58" s="110" t="s">
        <v>144</v>
      </c>
      <c r="C58" s="135"/>
      <c r="D58" s="136">
        <v>0</v>
      </c>
    </row>
    <row r="59" spans="1:4" x14ac:dyDescent="0.2">
      <c r="A59" s="110" t="s">
        <v>42</v>
      </c>
      <c r="B59" s="110" t="s">
        <v>262</v>
      </c>
      <c r="C59" s="135"/>
      <c r="D59" s="136">
        <v>10.46</v>
      </c>
    </row>
    <row r="60" spans="1:4" x14ac:dyDescent="0.2">
      <c r="A60" s="110" t="s">
        <v>43</v>
      </c>
      <c r="B60" s="110" t="s">
        <v>263</v>
      </c>
      <c r="C60" s="135">
        <v>0.01</v>
      </c>
      <c r="D60" s="136">
        <f>(D25+D26)*1/100</f>
        <v>25.65212</v>
      </c>
    </row>
    <row r="61" spans="1:4" x14ac:dyDescent="0.2">
      <c r="A61" s="284" t="s">
        <v>58</v>
      </c>
      <c r="B61" s="284"/>
      <c r="C61" s="284"/>
      <c r="D61" s="121">
        <f>SUM(D54:D60)</f>
        <v>799.13377000000003</v>
      </c>
    </row>
    <row r="62" spans="1:4" x14ac:dyDescent="0.2">
      <c r="A62" s="304"/>
      <c r="B62" s="304"/>
      <c r="C62" s="304"/>
      <c r="D62" s="304"/>
    </row>
    <row r="63" spans="1:4" x14ac:dyDescent="0.2">
      <c r="A63" s="296" t="s">
        <v>80</v>
      </c>
      <c r="B63" s="296"/>
      <c r="C63" s="296"/>
      <c r="D63" s="296"/>
    </row>
    <row r="64" spans="1:4" x14ac:dyDescent="0.2">
      <c r="A64" s="114">
        <v>2</v>
      </c>
      <c r="B64" s="284" t="s">
        <v>81</v>
      </c>
      <c r="C64" s="284"/>
      <c r="D64" s="114" t="s">
        <v>56</v>
      </c>
    </row>
    <row r="65" spans="1:4" x14ac:dyDescent="0.2">
      <c r="A65" s="110" t="s">
        <v>61</v>
      </c>
      <c r="B65" s="297" t="s">
        <v>82</v>
      </c>
      <c r="C65" s="297"/>
      <c r="D65" s="116">
        <f>D38</f>
        <v>487.34154097200008</v>
      </c>
    </row>
    <row r="66" spans="1:4" x14ac:dyDescent="0.2">
      <c r="A66" s="110" t="s">
        <v>66</v>
      </c>
      <c r="B66" s="297" t="s">
        <v>67</v>
      </c>
      <c r="C66" s="297"/>
      <c r="D66" s="116">
        <f>D50</f>
        <v>1179.9975200000003</v>
      </c>
    </row>
    <row r="67" spans="1:4" x14ac:dyDescent="0.2">
      <c r="A67" s="110" t="s">
        <v>78</v>
      </c>
      <c r="B67" s="297" t="s">
        <v>79</v>
      </c>
      <c r="C67" s="297"/>
      <c r="D67" s="116">
        <f>D61</f>
        <v>799.13377000000003</v>
      </c>
    </row>
    <row r="68" spans="1:4" x14ac:dyDescent="0.2">
      <c r="A68" s="284" t="s">
        <v>58</v>
      </c>
      <c r="B68" s="284"/>
      <c r="C68" s="284"/>
      <c r="D68" s="117">
        <f>SUM(D65:D67)</f>
        <v>2466.4728309720003</v>
      </c>
    </row>
    <row r="69" spans="1:4" x14ac:dyDescent="0.2">
      <c r="A69" s="137"/>
      <c r="B69" s="137"/>
      <c r="C69" s="137"/>
      <c r="D69" s="138"/>
    </row>
    <row r="70" spans="1:4" x14ac:dyDescent="0.2">
      <c r="A70" s="294" t="s">
        <v>137</v>
      </c>
      <c r="B70" s="294"/>
      <c r="C70" s="294"/>
      <c r="D70" s="294"/>
    </row>
    <row r="71" spans="1:4" x14ac:dyDescent="0.2">
      <c r="A71" s="122">
        <v>3</v>
      </c>
      <c r="B71" s="114" t="s">
        <v>83</v>
      </c>
      <c r="C71" s="114" t="s">
        <v>84</v>
      </c>
      <c r="D71" s="114" t="s">
        <v>56</v>
      </c>
    </row>
    <row r="72" spans="1:4" x14ac:dyDescent="0.2">
      <c r="A72" s="111" t="s">
        <v>33</v>
      </c>
      <c r="B72" s="111" t="s">
        <v>85</v>
      </c>
      <c r="C72" s="139">
        <v>4.1700000000000001E-3</v>
      </c>
      <c r="D72" s="140">
        <f>D29*C72</f>
        <v>13.371167550000001</v>
      </c>
    </row>
    <row r="73" spans="1:4" x14ac:dyDescent="0.2">
      <c r="A73" s="111" t="s">
        <v>35</v>
      </c>
      <c r="B73" s="111" t="s">
        <v>86</v>
      </c>
      <c r="C73" s="141">
        <v>3.3399999999999999E-4</v>
      </c>
      <c r="D73" s="142">
        <f>D29*C73</f>
        <v>1.0709760100000001</v>
      </c>
    </row>
    <row r="74" spans="1:4" x14ac:dyDescent="0.2">
      <c r="A74" s="63" t="s">
        <v>38</v>
      </c>
      <c r="B74" s="63" t="s">
        <v>87</v>
      </c>
      <c r="C74" s="143">
        <v>1.6000000000000001E-3</v>
      </c>
      <c r="D74" s="144">
        <f>SUM(D29+D36)*C74</f>
        <v>5.7004141064000002</v>
      </c>
    </row>
    <row r="75" spans="1:4" x14ac:dyDescent="0.2">
      <c r="A75" s="111" t="s">
        <v>57</v>
      </c>
      <c r="B75" s="111" t="s">
        <v>88</v>
      </c>
      <c r="C75" s="145">
        <v>1.84E-2</v>
      </c>
      <c r="D75" s="140">
        <f>D29*C75</f>
        <v>58.999876000000008</v>
      </c>
    </row>
    <row r="76" spans="1:4" ht="25.5" x14ac:dyDescent="0.2">
      <c r="A76" s="110" t="s">
        <v>41</v>
      </c>
      <c r="B76" s="110" t="s">
        <v>89</v>
      </c>
      <c r="C76" s="146">
        <v>5.4000000000000003E-3</v>
      </c>
      <c r="D76" s="147">
        <f>D29*C76</f>
        <v>17.315181000000003</v>
      </c>
    </row>
    <row r="77" spans="1:4" x14ac:dyDescent="0.2">
      <c r="A77" s="63" t="s">
        <v>42</v>
      </c>
      <c r="B77" s="63" t="s">
        <v>90</v>
      </c>
      <c r="C77" s="143">
        <v>3.04E-2</v>
      </c>
      <c r="D77" s="144">
        <f>(D29+D36)*C77</f>
        <v>108.3078680216</v>
      </c>
    </row>
    <row r="78" spans="1:4" x14ac:dyDescent="0.2">
      <c r="A78" s="293" t="s">
        <v>58</v>
      </c>
      <c r="B78" s="293"/>
      <c r="C78" s="293"/>
      <c r="D78" s="121">
        <f>SUM(D72:D77)</f>
        <v>204.76548268800002</v>
      </c>
    </row>
    <row r="79" spans="1:4" x14ac:dyDescent="0.2">
      <c r="A79" s="148"/>
      <c r="B79" s="148"/>
      <c r="C79" s="148"/>
      <c r="D79" s="149"/>
    </row>
    <row r="80" spans="1:4" x14ac:dyDescent="0.2">
      <c r="A80" s="295" t="s">
        <v>132</v>
      </c>
      <c r="B80" s="295"/>
      <c r="C80" s="295"/>
      <c r="D80" s="295"/>
    </row>
    <row r="81" spans="1:4" x14ac:dyDescent="0.2">
      <c r="A81" s="111" t="s">
        <v>33</v>
      </c>
      <c r="B81" s="111" t="s">
        <v>133</v>
      </c>
      <c r="C81" s="122"/>
      <c r="D81" s="121">
        <f>D29</f>
        <v>3206.5150000000003</v>
      </c>
    </row>
    <row r="82" spans="1:4" x14ac:dyDescent="0.2">
      <c r="A82" s="111" t="s">
        <v>35</v>
      </c>
      <c r="B82" s="111" t="s">
        <v>117</v>
      </c>
      <c r="C82" s="122"/>
      <c r="D82" s="121">
        <f>D68</f>
        <v>2466.4728309720003</v>
      </c>
    </row>
    <row r="83" spans="1:4" x14ac:dyDescent="0.2">
      <c r="A83" s="63" t="s">
        <v>38</v>
      </c>
      <c r="B83" s="63" t="s">
        <v>134</v>
      </c>
      <c r="C83" s="150">
        <f>D81/12</f>
        <v>267.20958333333334</v>
      </c>
      <c r="D83" s="150">
        <f>C83*C50+C83</f>
        <v>365.54271000000006</v>
      </c>
    </row>
    <row r="84" spans="1:4" x14ac:dyDescent="0.2">
      <c r="A84" s="111" t="s">
        <v>57</v>
      </c>
      <c r="B84" s="111" t="s">
        <v>118</v>
      </c>
      <c r="C84" s="122"/>
      <c r="D84" s="121">
        <f>D78</f>
        <v>204.76548268800002</v>
      </c>
    </row>
    <row r="85" spans="1:4" x14ac:dyDescent="0.2">
      <c r="A85" s="111" t="s">
        <v>41</v>
      </c>
      <c r="B85" s="111" t="s">
        <v>135</v>
      </c>
      <c r="C85" s="122"/>
      <c r="D85" s="168">
        <f>-(D54+D55)</f>
        <v>-524.56560000000002</v>
      </c>
    </row>
    <row r="86" spans="1:4" x14ac:dyDescent="0.2">
      <c r="A86" s="293" t="s">
        <v>136</v>
      </c>
      <c r="B86" s="293"/>
      <c r="C86" s="293"/>
      <c r="D86" s="121">
        <f>SUM(D81:D85)</f>
        <v>5718.7304236600003</v>
      </c>
    </row>
    <row r="87" spans="1:4" ht="13.5" thickBot="1" x14ac:dyDescent="0.25">
      <c r="A87" s="148"/>
      <c r="B87" s="148"/>
      <c r="C87" s="148"/>
      <c r="D87" s="148"/>
    </row>
    <row r="88" spans="1:4" ht="13.5" thickBot="1" x14ac:dyDescent="0.25">
      <c r="A88" s="280" t="s">
        <v>91</v>
      </c>
      <c r="B88" s="280"/>
      <c r="C88" s="280"/>
      <c r="D88" s="280"/>
    </row>
    <row r="89" spans="1:4" x14ac:dyDescent="0.2">
      <c r="A89" s="296" t="s">
        <v>92</v>
      </c>
      <c r="B89" s="296"/>
      <c r="C89" s="296"/>
      <c r="D89" s="296"/>
    </row>
    <row r="90" spans="1:4" x14ac:dyDescent="0.2">
      <c r="A90" s="114" t="s">
        <v>93</v>
      </c>
      <c r="B90" s="114" t="s">
        <v>94</v>
      </c>
      <c r="C90" s="114" t="s">
        <v>84</v>
      </c>
      <c r="D90" s="114" t="s">
        <v>56</v>
      </c>
    </row>
    <row r="91" spans="1:4" x14ac:dyDescent="0.2">
      <c r="A91" s="111" t="s">
        <v>33</v>
      </c>
      <c r="B91" s="110" t="s">
        <v>95</v>
      </c>
      <c r="C91" s="123">
        <v>8.3299999999999999E-2</v>
      </c>
      <c r="D91" s="119">
        <f>D86*C91</f>
        <v>476.37024429087802</v>
      </c>
    </row>
    <row r="92" spans="1:4" x14ac:dyDescent="0.2">
      <c r="A92" s="111" t="s">
        <v>35</v>
      </c>
      <c r="B92" s="110" t="s">
        <v>138</v>
      </c>
      <c r="C92" s="151">
        <v>2.2200000000000002E-3</v>
      </c>
      <c r="D92" s="119">
        <f>D86*C92</f>
        <v>12.695581540525202</v>
      </c>
    </row>
    <row r="93" spans="1:4" x14ac:dyDescent="0.2">
      <c r="A93" s="111" t="s">
        <v>38</v>
      </c>
      <c r="B93" s="110" t="s">
        <v>96</v>
      </c>
      <c r="C93" s="151">
        <v>2.0000000000000001E-4</v>
      </c>
      <c r="D93" s="119">
        <f>D86*C93</f>
        <v>1.143746084732</v>
      </c>
    </row>
    <row r="94" spans="1:4" x14ac:dyDescent="0.2">
      <c r="A94" s="111" t="s">
        <v>57</v>
      </c>
      <c r="B94" s="110" t="s">
        <v>97</v>
      </c>
      <c r="C94" s="151">
        <v>2.7999999999999998E-4</v>
      </c>
      <c r="D94" s="119">
        <f>D86*C94</f>
        <v>1.6012445186247999</v>
      </c>
    </row>
    <row r="95" spans="1:4" x14ac:dyDescent="0.2">
      <c r="A95" s="111"/>
      <c r="B95" s="110" t="s">
        <v>139</v>
      </c>
      <c r="C95" s="151">
        <v>3.5999999999999999E-3</v>
      </c>
      <c r="D95" s="119">
        <f>D86*C95</f>
        <v>20.587429525175999</v>
      </c>
    </row>
    <row r="96" spans="1:4" x14ac:dyDescent="0.2">
      <c r="A96" s="111" t="s">
        <v>41</v>
      </c>
      <c r="B96" s="110" t="s">
        <v>98</v>
      </c>
      <c r="C96" s="151">
        <v>3.8999999999999999E-4</v>
      </c>
      <c r="D96" s="119">
        <f>D86*C96</f>
        <v>2.2303048652274002</v>
      </c>
    </row>
    <row r="97" spans="1:4" x14ac:dyDescent="0.2">
      <c r="A97" s="111" t="s">
        <v>42</v>
      </c>
      <c r="B97" s="110" t="s">
        <v>126</v>
      </c>
      <c r="C97" s="146"/>
      <c r="D97" s="119">
        <f>(($D$29+$D$68+$D$78)-$D$54)*C97</f>
        <v>0</v>
      </c>
    </row>
    <row r="98" spans="1:4" x14ac:dyDescent="0.2">
      <c r="A98" s="122" t="s">
        <v>58</v>
      </c>
      <c r="B98" s="122"/>
      <c r="C98" s="122"/>
      <c r="D98" s="121">
        <f>SUM(D91:D97)</f>
        <v>514.62855082516342</v>
      </c>
    </row>
    <row r="99" spans="1:4" x14ac:dyDescent="0.2">
      <c r="A99" s="290" t="s">
        <v>99</v>
      </c>
      <c r="B99" s="291"/>
      <c r="C99" s="291"/>
      <c r="D99" s="292"/>
    </row>
    <row r="100" spans="1:4" x14ac:dyDescent="0.2">
      <c r="A100" s="122" t="s">
        <v>100</v>
      </c>
      <c r="B100" s="111" t="s">
        <v>101</v>
      </c>
      <c r="C100" s="111"/>
      <c r="D100" s="114" t="s">
        <v>56</v>
      </c>
    </row>
    <row r="101" spans="1:4" x14ac:dyDescent="0.2">
      <c r="A101" s="111" t="s">
        <v>33</v>
      </c>
      <c r="B101" s="111" t="s">
        <v>102</v>
      </c>
      <c r="C101" s="111"/>
      <c r="D101" s="119">
        <v>0</v>
      </c>
    </row>
    <row r="102" spans="1:4" x14ac:dyDescent="0.2">
      <c r="A102" s="122" t="s">
        <v>58</v>
      </c>
      <c r="B102" s="122"/>
      <c r="C102" s="122"/>
      <c r="D102" s="121"/>
    </row>
    <row r="103" spans="1:4" x14ac:dyDescent="0.2">
      <c r="A103" s="125"/>
      <c r="B103" s="125"/>
      <c r="C103" s="125"/>
      <c r="D103" s="125"/>
    </row>
    <row r="104" spans="1:4" x14ac:dyDescent="0.2">
      <c r="A104" s="287" t="s">
        <v>103</v>
      </c>
      <c r="B104" s="288"/>
      <c r="C104" s="288"/>
      <c r="D104" s="289"/>
    </row>
    <row r="105" spans="1:4" x14ac:dyDescent="0.2">
      <c r="A105" s="114">
        <v>4</v>
      </c>
      <c r="B105" s="152" t="s">
        <v>104</v>
      </c>
      <c r="C105" s="153"/>
      <c r="D105" s="114" t="s">
        <v>56</v>
      </c>
    </row>
    <row r="106" spans="1:4" x14ac:dyDescent="0.2">
      <c r="A106" s="110" t="s">
        <v>93</v>
      </c>
      <c r="B106" s="154" t="s">
        <v>94</v>
      </c>
      <c r="C106" s="155"/>
      <c r="D106" s="156">
        <f>D98</f>
        <v>514.62855082516342</v>
      </c>
    </row>
    <row r="107" spans="1:4" x14ac:dyDescent="0.2">
      <c r="A107" s="110" t="s">
        <v>100</v>
      </c>
      <c r="B107" s="154" t="s">
        <v>101</v>
      </c>
      <c r="C107" s="155"/>
      <c r="D107" s="119">
        <f>D102</f>
        <v>0</v>
      </c>
    </row>
    <row r="108" spans="1:4" x14ac:dyDescent="0.2">
      <c r="A108" s="157" t="s">
        <v>58</v>
      </c>
      <c r="B108" s="158"/>
      <c r="C108" s="159"/>
      <c r="D108" s="121">
        <f>SUM(D106:D107)</f>
        <v>514.62855082516342</v>
      </c>
    </row>
    <row r="109" spans="1:4" x14ac:dyDescent="0.2">
      <c r="A109" s="62" t="s">
        <v>54</v>
      </c>
      <c r="B109" s="62"/>
      <c r="C109" s="62"/>
      <c r="D109" s="62"/>
    </row>
    <row r="110" spans="1:4" x14ac:dyDescent="0.2">
      <c r="A110" s="287" t="s">
        <v>105</v>
      </c>
      <c r="B110" s="288"/>
      <c r="C110" s="288"/>
      <c r="D110" s="289"/>
    </row>
    <row r="111" spans="1:4" x14ac:dyDescent="0.2">
      <c r="A111" s="114">
        <v>5</v>
      </c>
      <c r="B111" s="114" t="s">
        <v>106</v>
      </c>
      <c r="C111" s="114"/>
      <c r="D111" s="114" t="s">
        <v>56</v>
      </c>
    </row>
    <row r="112" spans="1:4" x14ac:dyDescent="0.2">
      <c r="A112" s="132" t="s">
        <v>33</v>
      </c>
      <c r="B112" s="160" t="s">
        <v>141</v>
      </c>
      <c r="C112" s="160"/>
      <c r="D112" s="136">
        <v>126.1</v>
      </c>
    </row>
    <row r="113" spans="1:4" x14ac:dyDescent="0.2">
      <c r="A113" s="110" t="s">
        <v>35</v>
      </c>
      <c r="B113" s="110" t="s">
        <v>164</v>
      </c>
      <c r="C113" s="114"/>
      <c r="D113" s="116">
        <v>0</v>
      </c>
    </row>
    <row r="114" spans="1:4" x14ac:dyDescent="0.2">
      <c r="A114" s="114" t="s">
        <v>58</v>
      </c>
      <c r="B114" s="114"/>
      <c r="C114" s="114"/>
      <c r="D114" s="117">
        <f>D112+D113</f>
        <v>126.1</v>
      </c>
    </row>
    <row r="115" spans="1:4" x14ac:dyDescent="0.2">
      <c r="A115" s="301"/>
      <c r="B115" s="301"/>
      <c r="C115" s="301"/>
      <c r="D115" s="301"/>
    </row>
    <row r="116" spans="1:4" x14ac:dyDescent="0.2">
      <c r="A116" s="287" t="s">
        <v>107</v>
      </c>
      <c r="B116" s="288"/>
      <c r="C116" s="288"/>
      <c r="D116" s="289"/>
    </row>
    <row r="117" spans="1:4" x14ac:dyDescent="0.2">
      <c r="A117" s="114">
        <v>6</v>
      </c>
      <c r="B117" s="114" t="s">
        <v>108</v>
      </c>
      <c r="C117" s="114" t="s">
        <v>68</v>
      </c>
      <c r="D117" s="114" t="s">
        <v>56</v>
      </c>
    </row>
    <row r="118" spans="1:4" x14ac:dyDescent="0.2">
      <c r="A118" s="110" t="s">
        <v>33</v>
      </c>
      <c r="B118" s="160" t="s">
        <v>109</v>
      </c>
      <c r="C118" s="161">
        <v>0.05</v>
      </c>
      <c r="D118" s="116">
        <f>C118*D134</f>
        <v>325.92409322425823</v>
      </c>
    </row>
    <row r="119" spans="1:4" x14ac:dyDescent="0.2">
      <c r="A119" s="110" t="s">
        <v>35</v>
      </c>
      <c r="B119" s="160" t="s">
        <v>110</v>
      </c>
      <c r="C119" s="161">
        <v>0.1</v>
      </c>
      <c r="D119" s="116">
        <f>C119*(D118+D134)</f>
        <v>684.44059577094231</v>
      </c>
    </row>
    <row r="120" spans="1:4" x14ac:dyDescent="0.2">
      <c r="A120" s="110" t="s">
        <v>38</v>
      </c>
      <c r="B120" s="160" t="s">
        <v>111</v>
      </c>
      <c r="C120" s="162">
        <v>6.1499999999999999E-2</v>
      </c>
      <c r="D120" s="116">
        <f>(D29+D68+D78+D108+D113+D118+D119)*(C121+C122+C123)/(1-(C121+C122+C123))</f>
        <v>485.10273099525028</v>
      </c>
    </row>
    <row r="121" spans="1:4" x14ac:dyDescent="0.2">
      <c r="A121" s="110"/>
      <c r="B121" s="132" t="s">
        <v>112</v>
      </c>
      <c r="C121" s="162">
        <v>6.4999999999999997E-3</v>
      </c>
      <c r="D121" s="116">
        <f>C121*D136</f>
        <v>52.090670349091496</v>
      </c>
    </row>
    <row r="122" spans="1:4" x14ac:dyDescent="0.2">
      <c r="A122" s="110"/>
      <c r="B122" s="132" t="s">
        <v>113</v>
      </c>
      <c r="C122" s="162">
        <v>0.03</v>
      </c>
      <c r="D122" s="116">
        <f>C122*D136</f>
        <v>240.41847853426844</v>
      </c>
    </row>
    <row r="123" spans="1:4" x14ac:dyDescent="0.2">
      <c r="A123" s="110"/>
      <c r="B123" s="110" t="s">
        <v>114</v>
      </c>
      <c r="C123" s="163">
        <v>2.5000000000000001E-2</v>
      </c>
      <c r="D123" s="116">
        <f>C123*D136</f>
        <v>200.3487321118904</v>
      </c>
    </row>
    <row r="124" spans="1:4" x14ac:dyDescent="0.2">
      <c r="A124" s="114" t="s">
        <v>58</v>
      </c>
      <c r="B124" s="114"/>
      <c r="C124" s="114"/>
      <c r="D124" s="117">
        <f>SUM(D118:D120)</f>
        <v>1495.4674199904509</v>
      </c>
    </row>
    <row r="125" spans="1:4" x14ac:dyDescent="0.2">
      <c r="A125" s="62"/>
      <c r="B125" s="62"/>
      <c r="C125" s="62"/>
      <c r="D125" s="62"/>
    </row>
    <row r="126" spans="1:4" x14ac:dyDescent="0.2">
      <c r="A126" s="321" t="s">
        <v>115</v>
      </c>
      <c r="B126" s="322"/>
      <c r="C126" s="322"/>
      <c r="D126" s="323"/>
    </row>
    <row r="127" spans="1:4" x14ac:dyDescent="0.2">
      <c r="A127" s="62" t="s">
        <v>54</v>
      </c>
      <c r="B127" s="62"/>
      <c r="C127" s="62"/>
      <c r="D127" s="62"/>
    </row>
    <row r="128" spans="1:4" x14ac:dyDescent="0.2">
      <c r="A128" s="110"/>
      <c r="B128" s="114" t="s">
        <v>116</v>
      </c>
      <c r="C128" s="114"/>
      <c r="D128" s="114" t="s">
        <v>56</v>
      </c>
    </row>
    <row r="129" spans="1:4" x14ac:dyDescent="0.2">
      <c r="A129" s="110" t="s">
        <v>33</v>
      </c>
      <c r="B129" s="285" t="s">
        <v>53</v>
      </c>
      <c r="C129" s="286"/>
      <c r="D129" s="116">
        <f>D29</f>
        <v>3206.5150000000003</v>
      </c>
    </row>
    <row r="130" spans="1:4" x14ac:dyDescent="0.2">
      <c r="A130" s="110" t="s">
        <v>35</v>
      </c>
      <c r="B130" s="285" t="s">
        <v>117</v>
      </c>
      <c r="C130" s="286"/>
      <c r="D130" s="116">
        <f>D68</f>
        <v>2466.4728309720003</v>
      </c>
    </row>
    <row r="131" spans="1:4" x14ac:dyDescent="0.2">
      <c r="A131" s="110" t="s">
        <v>38</v>
      </c>
      <c r="B131" s="285" t="s">
        <v>118</v>
      </c>
      <c r="C131" s="286"/>
      <c r="D131" s="116">
        <f>D78</f>
        <v>204.76548268800002</v>
      </c>
    </row>
    <row r="132" spans="1:4" x14ac:dyDescent="0.2">
      <c r="A132" s="110" t="s">
        <v>57</v>
      </c>
      <c r="B132" s="285" t="s">
        <v>119</v>
      </c>
      <c r="C132" s="286"/>
      <c r="D132" s="116">
        <f>D108</f>
        <v>514.62855082516342</v>
      </c>
    </row>
    <row r="133" spans="1:4" x14ac:dyDescent="0.2">
      <c r="A133" s="110" t="s">
        <v>41</v>
      </c>
      <c r="B133" s="285" t="s">
        <v>120</v>
      </c>
      <c r="C133" s="286"/>
      <c r="D133" s="116">
        <f>D114</f>
        <v>126.1</v>
      </c>
    </row>
    <row r="134" spans="1:4" x14ac:dyDescent="0.2">
      <c r="A134" s="281" t="s">
        <v>121</v>
      </c>
      <c r="B134" s="282"/>
      <c r="C134" s="283"/>
      <c r="D134" s="117">
        <f>SUM(D129:D133)</f>
        <v>6518.4818644851639</v>
      </c>
    </row>
    <row r="135" spans="1:4" x14ac:dyDescent="0.2">
      <c r="A135" s="110" t="s">
        <v>42</v>
      </c>
      <c r="B135" s="285" t="s">
        <v>122</v>
      </c>
      <c r="C135" s="286"/>
      <c r="D135" s="116">
        <f>D124</f>
        <v>1495.4674199904509</v>
      </c>
    </row>
    <row r="136" spans="1:4" x14ac:dyDescent="0.2">
      <c r="A136" s="298" t="s">
        <v>123</v>
      </c>
      <c r="B136" s="299"/>
      <c r="C136" s="300"/>
      <c r="D136" s="121">
        <f>SUM(D134+D135)</f>
        <v>8013.9492844756151</v>
      </c>
    </row>
    <row r="137" spans="1:4" x14ac:dyDescent="0.2">
      <c r="A137" s="148"/>
      <c r="B137" s="148"/>
      <c r="C137" s="148"/>
      <c r="D137" s="149"/>
    </row>
    <row r="138" spans="1:4" x14ac:dyDescent="0.2">
      <c r="A138" s="148"/>
      <c r="B138" s="148"/>
      <c r="C138" s="122" t="s">
        <v>129</v>
      </c>
      <c r="D138" s="122">
        <v>2</v>
      </c>
    </row>
    <row r="139" spans="1:4" x14ac:dyDescent="0.2">
      <c r="A139" s="62"/>
      <c r="B139" s="62"/>
      <c r="C139" s="111" t="s">
        <v>124</v>
      </c>
      <c r="D139" s="164">
        <f>D138*D136</f>
        <v>16027.89856895123</v>
      </c>
    </row>
    <row r="140" spans="1:4" x14ac:dyDescent="0.2">
      <c r="A140" s="62"/>
      <c r="B140" s="62"/>
      <c r="C140" s="122" t="s">
        <v>128</v>
      </c>
      <c r="D140" s="165">
        <v>12</v>
      </c>
    </row>
    <row r="141" spans="1:4" x14ac:dyDescent="0.2">
      <c r="A141" s="62"/>
      <c r="B141" s="62"/>
      <c r="C141" s="111" t="s">
        <v>125</v>
      </c>
      <c r="D141" s="166">
        <f>D140*D139</f>
        <v>192334.78282741475</v>
      </c>
    </row>
  </sheetData>
  <mergeCells count="62">
    <mergeCell ref="B7:C7"/>
    <mergeCell ref="A1:D1"/>
    <mergeCell ref="A2:D2"/>
    <mergeCell ref="A3:D3"/>
    <mergeCell ref="A4:C4"/>
    <mergeCell ref="A6:D6"/>
    <mergeCell ref="B19:C19"/>
    <mergeCell ref="B8:C8"/>
    <mergeCell ref="B9:C9"/>
    <mergeCell ref="B10:C10"/>
    <mergeCell ref="B11:C11"/>
    <mergeCell ref="B12:C12"/>
    <mergeCell ref="A13:D13"/>
    <mergeCell ref="A14:D14"/>
    <mergeCell ref="A15:C15"/>
    <mergeCell ref="A16:C16"/>
    <mergeCell ref="A17:D17"/>
    <mergeCell ref="A18:D18"/>
    <mergeCell ref="A39:D39"/>
    <mergeCell ref="B20:C20"/>
    <mergeCell ref="B21:C21"/>
    <mergeCell ref="A23:D23"/>
    <mergeCell ref="B24:C24"/>
    <mergeCell ref="A29:C29"/>
    <mergeCell ref="A31:D31"/>
    <mergeCell ref="A32:D32"/>
    <mergeCell ref="B33:C33"/>
    <mergeCell ref="A36:B36"/>
    <mergeCell ref="A37:B37"/>
    <mergeCell ref="A38:C38"/>
    <mergeCell ref="A68:C68"/>
    <mergeCell ref="A40:D40"/>
    <mergeCell ref="A51:D51"/>
    <mergeCell ref="A52:D52"/>
    <mergeCell ref="B53:C53"/>
    <mergeCell ref="A61:C61"/>
    <mergeCell ref="A62:D62"/>
    <mergeCell ref="A63:D63"/>
    <mergeCell ref="B64:C64"/>
    <mergeCell ref="B65:C65"/>
    <mergeCell ref="B66:C66"/>
    <mergeCell ref="B67:C67"/>
    <mergeCell ref="A126:D126"/>
    <mergeCell ref="A70:D70"/>
    <mergeCell ref="A78:C78"/>
    <mergeCell ref="A80:D80"/>
    <mergeCell ref="A86:C86"/>
    <mergeCell ref="A88:D88"/>
    <mergeCell ref="A89:D89"/>
    <mergeCell ref="A99:D99"/>
    <mergeCell ref="A104:D104"/>
    <mergeCell ref="A110:D110"/>
    <mergeCell ref="A115:D115"/>
    <mergeCell ref="A116:D116"/>
    <mergeCell ref="B135:C135"/>
    <mergeCell ref="A136:C136"/>
    <mergeCell ref="B129:C129"/>
    <mergeCell ref="B130:C130"/>
    <mergeCell ref="B131:C131"/>
    <mergeCell ref="B132:C132"/>
    <mergeCell ref="B133:C133"/>
    <mergeCell ref="A134:C134"/>
  </mergeCells>
  <pageMargins left="0.2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6D6EF-FBD3-451A-8583-4D0AD220F66B}">
  <sheetPr>
    <pageSetUpPr fitToPage="1"/>
  </sheetPr>
  <dimension ref="A1:D138"/>
  <sheetViews>
    <sheetView workbookViewId="0">
      <selection activeCell="B9" sqref="B9:C9"/>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ht="12.75" customHeight="1"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02" t="s">
        <v>34</v>
      </c>
      <c r="C7" s="303"/>
      <c r="D7" s="109"/>
    </row>
    <row r="8" spans="1:4" x14ac:dyDescent="0.2">
      <c r="A8" s="110" t="s">
        <v>35</v>
      </c>
      <c r="B8" s="310" t="s">
        <v>36</v>
      </c>
      <c r="C8" s="311"/>
      <c r="D8" s="111" t="s">
        <v>37</v>
      </c>
    </row>
    <row r="9" spans="1:4" x14ac:dyDescent="0.2">
      <c r="A9" s="112" t="s">
        <v>42</v>
      </c>
      <c r="B9" s="273" t="s">
        <v>45</v>
      </c>
      <c r="C9" s="275"/>
      <c r="D9" s="111" t="s">
        <v>46</v>
      </c>
    </row>
    <row r="10" spans="1:4" x14ac:dyDescent="0.2">
      <c r="A10" s="273"/>
      <c r="B10" s="274"/>
      <c r="C10" s="274"/>
      <c r="D10" s="275"/>
    </row>
    <row r="11" spans="1:4" ht="13.5" thickBot="1" x14ac:dyDescent="0.25">
      <c r="A11" s="276" t="s">
        <v>47</v>
      </c>
      <c r="B11" s="276"/>
      <c r="C11" s="276"/>
      <c r="D11" s="276"/>
    </row>
    <row r="12" spans="1:4" ht="12.75" customHeight="1" x14ac:dyDescent="0.2">
      <c r="A12" s="277" t="s">
        <v>48</v>
      </c>
      <c r="B12" s="277"/>
      <c r="C12" s="277"/>
      <c r="D12" s="112" t="s">
        <v>268</v>
      </c>
    </row>
    <row r="13" spans="1:4" ht="12.75" customHeight="1" x14ac:dyDescent="0.2">
      <c r="A13" s="277" t="s">
        <v>150</v>
      </c>
      <c r="B13" s="277"/>
      <c r="C13" s="277"/>
      <c r="D13" s="111" t="s">
        <v>208</v>
      </c>
    </row>
    <row r="14" spans="1:4" x14ac:dyDescent="0.2">
      <c r="A14" s="274"/>
      <c r="B14" s="274"/>
      <c r="C14" s="274"/>
      <c r="D14" s="275"/>
    </row>
    <row r="15" spans="1:4" ht="13.5" thickBot="1" x14ac:dyDescent="0.25">
      <c r="A15" s="276" t="s">
        <v>49</v>
      </c>
      <c r="B15" s="276"/>
      <c r="C15" s="276"/>
      <c r="D15" s="276"/>
    </row>
    <row r="16" spans="1:4" x14ac:dyDescent="0.2">
      <c r="A16" s="110">
        <v>3</v>
      </c>
      <c r="B16" s="278" t="s">
        <v>270</v>
      </c>
      <c r="C16" s="279"/>
      <c r="D16" s="113">
        <v>133920</v>
      </c>
    </row>
    <row r="17" spans="1:4" x14ac:dyDescent="0.2">
      <c r="A17" s="112">
        <v>4</v>
      </c>
      <c r="B17" s="277" t="s">
        <v>51</v>
      </c>
      <c r="C17" s="277"/>
      <c r="D17" s="112" t="s">
        <v>213</v>
      </c>
    </row>
    <row r="18" spans="1:4" x14ac:dyDescent="0.2">
      <c r="A18" s="112">
        <v>6</v>
      </c>
      <c r="B18" s="277" t="s">
        <v>52</v>
      </c>
      <c r="C18" s="277"/>
      <c r="D18" s="113">
        <v>1518</v>
      </c>
    </row>
    <row r="19" spans="1:4" ht="13.5" thickBot="1" x14ac:dyDescent="0.25">
      <c r="A19" s="62"/>
      <c r="B19" s="62"/>
      <c r="C19" s="62"/>
      <c r="D19" s="62"/>
    </row>
    <row r="20" spans="1:4" ht="13.5" thickBot="1" x14ac:dyDescent="0.25">
      <c r="A20" s="280" t="s">
        <v>53</v>
      </c>
      <c r="B20" s="280"/>
      <c r="C20" s="280"/>
      <c r="D20" s="280"/>
    </row>
    <row r="21" spans="1:4" x14ac:dyDescent="0.2">
      <c r="A21" s="114">
        <v>1</v>
      </c>
      <c r="B21" s="284" t="s">
        <v>55</v>
      </c>
      <c r="C21" s="284"/>
      <c r="D21" s="114" t="s">
        <v>56</v>
      </c>
    </row>
    <row r="22" spans="1:4" x14ac:dyDescent="0.2">
      <c r="A22" s="110" t="s">
        <v>33</v>
      </c>
      <c r="B22" s="110" t="s">
        <v>195</v>
      </c>
      <c r="C22" s="110"/>
      <c r="D22" s="116">
        <f>D16</f>
        <v>133920</v>
      </c>
    </row>
    <row r="23" spans="1:4" x14ac:dyDescent="0.2">
      <c r="A23" s="110" t="s">
        <v>35</v>
      </c>
      <c r="B23" s="110" t="s">
        <v>182</v>
      </c>
      <c r="C23" s="110"/>
      <c r="D23" s="116">
        <v>0</v>
      </c>
    </row>
    <row r="24" spans="1:4" x14ac:dyDescent="0.2">
      <c r="A24" s="110" t="s">
        <v>57</v>
      </c>
      <c r="B24" s="110" t="s">
        <v>229</v>
      </c>
      <c r="C24" s="116">
        <v>0</v>
      </c>
      <c r="D24" s="116">
        <f>(C24)*9/24</f>
        <v>0</v>
      </c>
    </row>
    <row r="25" spans="1:4" x14ac:dyDescent="0.2">
      <c r="A25" s="110" t="s">
        <v>41</v>
      </c>
      <c r="B25" s="110" t="s">
        <v>209</v>
      </c>
      <c r="C25" s="116">
        <v>0</v>
      </c>
      <c r="D25" s="116">
        <f>(C25)*1.2/24</f>
        <v>0</v>
      </c>
    </row>
    <row r="26" spans="1:4" x14ac:dyDescent="0.2">
      <c r="A26" s="281" t="s">
        <v>58</v>
      </c>
      <c r="B26" s="282"/>
      <c r="C26" s="283"/>
      <c r="D26" s="117">
        <f>SUM(D22:D25)</f>
        <v>133920</v>
      </c>
    </row>
    <row r="27" spans="1:4" ht="13.5" thickBot="1" x14ac:dyDescent="0.25">
      <c r="A27" s="62" t="s">
        <v>54</v>
      </c>
      <c r="B27" s="62"/>
      <c r="C27" s="62"/>
      <c r="D27" s="62"/>
    </row>
    <row r="28" spans="1:4" ht="13.5" thickBot="1" x14ac:dyDescent="0.25">
      <c r="A28" s="280" t="s">
        <v>59</v>
      </c>
      <c r="B28" s="280"/>
      <c r="C28" s="280"/>
      <c r="D28" s="280"/>
    </row>
    <row r="29" spans="1:4" x14ac:dyDescent="0.2">
      <c r="A29" s="312" t="s">
        <v>60</v>
      </c>
      <c r="B29" s="312"/>
      <c r="C29" s="312"/>
      <c r="D29" s="312"/>
    </row>
    <row r="30" spans="1:4" x14ac:dyDescent="0.2">
      <c r="A30" s="114" t="s">
        <v>61</v>
      </c>
      <c r="B30" s="284" t="s">
        <v>62</v>
      </c>
      <c r="C30" s="284"/>
      <c r="D30" s="114" t="s">
        <v>56</v>
      </c>
    </row>
    <row r="31" spans="1:4" x14ac:dyDescent="0.2">
      <c r="A31" s="111" t="s">
        <v>33</v>
      </c>
      <c r="B31" s="111" t="s">
        <v>63</v>
      </c>
      <c r="C31" s="118">
        <v>8.3299999999999999E-2</v>
      </c>
      <c r="D31" s="119">
        <v>0</v>
      </c>
    </row>
    <row r="32" spans="1:4" x14ac:dyDescent="0.2">
      <c r="A32" s="111" t="s">
        <v>35</v>
      </c>
      <c r="B32" s="111" t="s">
        <v>64</v>
      </c>
      <c r="C32" s="118">
        <v>2.7799999999999998E-2</v>
      </c>
      <c r="D32" s="119">
        <v>0</v>
      </c>
    </row>
    <row r="33" spans="1:4" x14ac:dyDescent="0.2">
      <c r="A33" s="305" t="s">
        <v>131</v>
      </c>
      <c r="B33" s="306"/>
      <c r="C33" s="120">
        <f>SUM(C31+C32)</f>
        <v>0.1111</v>
      </c>
      <c r="D33" s="121">
        <v>0</v>
      </c>
    </row>
    <row r="34" spans="1:4" x14ac:dyDescent="0.2">
      <c r="A34" s="313" t="s">
        <v>130</v>
      </c>
      <c r="B34" s="293"/>
      <c r="C34" s="123">
        <f>SUM(C39:C46)</f>
        <v>0.36800000000000005</v>
      </c>
      <c r="D34" s="119">
        <f>SUM(D33*C34)</f>
        <v>0</v>
      </c>
    </row>
    <row r="35" spans="1:4" x14ac:dyDescent="0.2">
      <c r="A35" s="307" t="s">
        <v>58</v>
      </c>
      <c r="B35" s="308"/>
      <c r="C35" s="309"/>
      <c r="D35" s="124">
        <f>SUM(D33+D34)</f>
        <v>0</v>
      </c>
    </row>
    <row r="36" spans="1:4" x14ac:dyDescent="0.2">
      <c r="A36" s="304"/>
      <c r="B36" s="304"/>
      <c r="C36" s="304"/>
      <c r="D36" s="304"/>
    </row>
    <row r="37" spans="1:4" ht="12.75" customHeight="1" x14ac:dyDescent="0.2">
      <c r="A37" s="296" t="s">
        <v>65</v>
      </c>
      <c r="B37" s="296"/>
      <c r="C37" s="296"/>
      <c r="D37" s="296"/>
    </row>
    <row r="38" spans="1:4" x14ac:dyDescent="0.2">
      <c r="A38" s="126" t="s">
        <v>66</v>
      </c>
      <c r="B38" s="126" t="s">
        <v>67</v>
      </c>
      <c r="C38" s="126" t="s">
        <v>68</v>
      </c>
      <c r="D38" s="126" t="s">
        <v>56</v>
      </c>
    </row>
    <row r="39" spans="1:4" x14ac:dyDescent="0.2">
      <c r="A39" s="127" t="s">
        <v>33</v>
      </c>
      <c r="B39" s="127" t="s">
        <v>69</v>
      </c>
      <c r="C39" s="123">
        <v>0.2</v>
      </c>
      <c r="D39" s="116">
        <v>0</v>
      </c>
    </row>
    <row r="40" spans="1:4" x14ac:dyDescent="0.2">
      <c r="A40" s="127" t="s">
        <v>35</v>
      </c>
      <c r="B40" s="127" t="s">
        <v>70</v>
      </c>
      <c r="C40" s="123">
        <v>2.5000000000000001E-2</v>
      </c>
      <c r="D40" s="116">
        <v>0</v>
      </c>
    </row>
    <row r="41" spans="1:4" x14ac:dyDescent="0.2">
      <c r="A41" s="127" t="s">
        <v>38</v>
      </c>
      <c r="B41" s="128" t="s">
        <v>71</v>
      </c>
      <c r="C41" s="129">
        <v>0.03</v>
      </c>
      <c r="D41" s="116">
        <v>0</v>
      </c>
    </row>
    <row r="42" spans="1:4" x14ac:dyDescent="0.2">
      <c r="A42" s="127" t="s">
        <v>57</v>
      </c>
      <c r="B42" s="127" t="s">
        <v>72</v>
      </c>
      <c r="C42" s="123">
        <v>1.4999999999999999E-2</v>
      </c>
      <c r="D42" s="116">
        <v>0</v>
      </c>
    </row>
    <row r="43" spans="1:4" x14ac:dyDescent="0.2">
      <c r="A43" s="127" t="s">
        <v>41</v>
      </c>
      <c r="B43" s="127" t="s">
        <v>73</v>
      </c>
      <c r="C43" s="123">
        <v>0.01</v>
      </c>
      <c r="D43" s="116">
        <v>0</v>
      </c>
    </row>
    <row r="44" spans="1:4" x14ac:dyDescent="0.2">
      <c r="A44" s="127" t="s">
        <v>42</v>
      </c>
      <c r="B44" s="127" t="s">
        <v>74</v>
      </c>
      <c r="C44" s="123">
        <v>6.0000000000000001E-3</v>
      </c>
      <c r="D44" s="116">
        <v>0</v>
      </c>
    </row>
    <row r="45" spans="1:4" x14ac:dyDescent="0.2">
      <c r="A45" s="127" t="s">
        <v>43</v>
      </c>
      <c r="B45" s="127" t="s">
        <v>75</v>
      </c>
      <c r="C45" s="123">
        <v>2E-3</v>
      </c>
      <c r="D45" s="116">
        <v>0</v>
      </c>
    </row>
    <row r="46" spans="1:4" x14ac:dyDescent="0.2">
      <c r="A46" s="127" t="s">
        <v>44</v>
      </c>
      <c r="B46" s="127" t="s">
        <v>76</v>
      </c>
      <c r="C46" s="123">
        <v>0.08</v>
      </c>
      <c r="D46" s="116">
        <v>0</v>
      </c>
    </row>
    <row r="47" spans="1:4" x14ac:dyDescent="0.2">
      <c r="A47" s="127"/>
      <c r="B47" s="126" t="s">
        <v>58</v>
      </c>
      <c r="C47" s="123">
        <f>SUM(C39:C46)</f>
        <v>0.36800000000000005</v>
      </c>
      <c r="D47" s="117">
        <f>SUM(D39:D46)</f>
        <v>0</v>
      </c>
    </row>
    <row r="48" spans="1:4" x14ac:dyDescent="0.2">
      <c r="A48" s="304"/>
      <c r="B48" s="304"/>
      <c r="C48" s="304"/>
      <c r="D48" s="304"/>
    </row>
    <row r="49" spans="1:4" ht="12.75" customHeight="1" x14ac:dyDescent="0.2">
      <c r="A49" s="296" t="s">
        <v>77</v>
      </c>
      <c r="B49" s="296"/>
      <c r="C49" s="296"/>
      <c r="D49" s="296"/>
    </row>
    <row r="50" spans="1:4" x14ac:dyDescent="0.2">
      <c r="A50" s="114" t="s">
        <v>78</v>
      </c>
      <c r="B50" s="284" t="s">
        <v>79</v>
      </c>
      <c r="C50" s="284"/>
      <c r="D50" s="114" t="s">
        <v>56</v>
      </c>
    </row>
    <row r="51" spans="1:4" x14ac:dyDescent="0.2">
      <c r="A51" s="110" t="s">
        <v>33</v>
      </c>
      <c r="B51" s="110" t="s">
        <v>140</v>
      </c>
      <c r="C51" s="130"/>
      <c r="D51" s="119">
        <v>0</v>
      </c>
    </row>
    <row r="52" spans="1:4" x14ac:dyDescent="0.2">
      <c r="A52" s="110" t="s">
        <v>35</v>
      </c>
      <c r="B52" s="132" t="s">
        <v>210</v>
      </c>
      <c r="C52" s="133"/>
      <c r="D52" s="134">
        <v>0</v>
      </c>
    </row>
    <row r="53" spans="1:4" x14ac:dyDescent="0.2">
      <c r="A53" s="110" t="s">
        <v>38</v>
      </c>
      <c r="B53" s="110" t="s">
        <v>193</v>
      </c>
      <c r="C53" s="130"/>
      <c r="D53" s="119">
        <v>0</v>
      </c>
    </row>
    <row r="54" spans="1:4" x14ac:dyDescent="0.2">
      <c r="A54" s="110" t="s">
        <v>57</v>
      </c>
      <c r="B54" s="110" t="s">
        <v>187</v>
      </c>
      <c r="C54" s="135"/>
      <c r="D54" s="136">
        <v>0</v>
      </c>
    </row>
    <row r="55" spans="1:4" x14ac:dyDescent="0.2">
      <c r="A55" s="110" t="s">
        <v>41</v>
      </c>
      <c r="B55" s="110" t="s">
        <v>188</v>
      </c>
      <c r="C55" s="135"/>
      <c r="D55" s="136">
        <v>0</v>
      </c>
    </row>
    <row r="56" spans="1:4" x14ac:dyDescent="0.2">
      <c r="A56" s="110" t="s">
        <v>42</v>
      </c>
      <c r="B56" s="110" t="s">
        <v>189</v>
      </c>
      <c r="C56" s="135"/>
      <c r="D56" s="136">
        <v>0</v>
      </c>
    </row>
    <row r="57" spans="1:4" x14ac:dyDescent="0.2">
      <c r="A57" s="110" t="s">
        <v>43</v>
      </c>
      <c r="B57" s="110" t="s">
        <v>211</v>
      </c>
      <c r="C57" s="135"/>
      <c r="D57" s="136">
        <v>0</v>
      </c>
    </row>
    <row r="58" spans="1:4" x14ac:dyDescent="0.2">
      <c r="A58" s="284" t="s">
        <v>58</v>
      </c>
      <c r="B58" s="284"/>
      <c r="C58" s="284"/>
      <c r="D58" s="121">
        <f>SUM(D51:D56)</f>
        <v>0</v>
      </c>
    </row>
    <row r="59" spans="1:4" x14ac:dyDescent="0.2">
      <c r="A59" s="304"/>
      <c r="B59" s="304"/>
      <c r="C59" s="304"/>
      <c r="D59" s="304"/>
    </row>
    <row r="60" spans="1:4" ht="12.75" customHeight="1" x14ac:dyDescent="0.2">
      <c r="A60" s="296" t="s">
        <v>80</v>
      </c>
      <c r="B60" s="296"/>
      <c r="C60" s="296"/>
      <c r="D60" s="296"/>
    </row>
    <row r="61" spans="1:4" x14ac:dyDescent="0.2">
      <c r="A61" s="114">
        <v>2</v>
      </c>
      <c r="B61" s="284" t="s">
        <v>81</v>
      </c>
      <c r="C61" s="284"/>
      <c r="D61" s="114" t="s">
        <v>56</v>
      </c>
    </row>
    <row r="62" spans="1:4" x14ac:dyDescent="0.2">
      <c r="A62" s="110" t="s">
        <v>61</v>
      </c>
      <c r="B62" s="297" t="s">
        <v>82</v>
      </c>
      <c r="C62" s="297"/>
      <c r="D62" s="116">
        <f>D35</f>
        <v>0</v>
      </c>
    </row>
    <row r="63" spans="1:4" x14ac:dyDescent="0.2">
      <c r="A63" s="110" t="s">
        <v>66</v>
      </c>
      <c r="B63" s="297" t="s">
        <v>67</v>
      </c>
      <c r="C63" s="297"/>
      <c r="D63" s="116">
        <f>D47</f>
        <v>0</v>
      </c>
    </row>
    <row r="64" spans="1:4" x14ac:dyDescent="0.2">
      <c r="A64" s="110" t="s">
        <v>78</v>
      </c>
      <c r="B64" s="297" t="s">
        <v>79</v>
      </c>
      <c r="C64" s="297"/>
      <c r="D64" s="116">
        <f>D58</f>
        <v>0</v>
      </c>
    </row>
    <row r="65" spans="1:4" x14ac:dyDescent="0.2">
      <c r="A65" s="284" t="s">
        <v>58</v>
      </c>
      <c r="B65" s="284"/>
      <c r="C65" s="284"/>
      <c r="D65" s="117">
        <f>SUM(D62:D64)</f>
        <v>0</v>
      </c>
    </row>
    <row r="66" spans="1:4" x14ac:dyDescent="0.2">
      <c r="A66" s="137"/>
      <c r="B66" s="137"/>
      <c r="C66" s="137"/>
      <c r="D66" s="138"/>
    </row>
    <row r="67" spans="1:4" x14ac:dyDescent="0.2">
      <c r="A67" s="294" t="s">
        <v>137</v>
      </c>
      <c r="B67" s="294"/>
      <c r="C67" s="294"/>
      <c r="D67" s="294"/>
    </row>
    <row r="68" spans="1:4" x14ac:dyDescent="0.2">
      <c r="A68" s="122">
        <v>3</v>
      </c>
      <c r="B68" s="114" t="s">
        <v>83</v>
      </c>
      <c r="C68" s="114" t="s">
        <v>84</v>
      </c>
      <c r="D68" s="114" t="s">
        <v>56</v>
      </c>
    </row>
    <row r="69" spans="1:4" x14ac:dyDescent="0.2">
      <c r="A69" s="111" t="s">
        <v>33</v>
      </c>
      <c r="B69" s="111" t="s">
        <v>85</v>
      </c>
      <c r="C69" s="139">
        <v>4.1700000000000001E-3</v>
      </c>
      <c r="D69" s="140">
        <v>0</v>
      </c>
    </row>
    <row r="70" spans="1:4" x14ac:dyDescent="0.2">
      <c r="A70" s="111" t="s">
        <v>35</v>
      </c>
      <c r="B70" s="111" t="s">
        <v>86</v>
      </c>
      <c r="C70" s="141">
        <v>3.3399999999999999E-4</v>
      </c>
      <c r="D70" s="142">
        <v>0</v>
      </c>
    </row>
    <row r="71" spans="1:4" x14ac:dyDescent="0.2">
      <c r="A71" s="63" t="s">
        <v>38</v>
      </c>
      <c r="B71" s="63" t="s">
        <v>87</v>
      </c>
      <c r="C71" s="143">
        <v>1.6000000000000001E-3</v>
      </c>
      <c r="D71" s="144">
        <v>0</v>
      </c>
    </row>
    <row r="72" spans="1:4" x14ac:dyDescent="0.2">
      <c r="A72" s="111" t="s">
        <v>57</v>
      </c>
      <c r="B72" s="111" t="s">
        <v>88</v>
      </c>
      <c r="C72" s="145">
        <v>1.84E-2</v>
      </c>
      <c r="D72" s="140">
        <v>0</v>
      </c>
    </row>
    <row r="73" spans="1:4" x14ac:dyDescent="0.2">
      <c r="A73" s="110" t="s">
        <v>41</v>
      </c>
      <c r="B73" s="110" t="s">
        <v>89</v>
      </c>
      <c r="C73" s="146">
        <v>5.4000000000000003E-3</v>
      </c>
      <c r="D73" s="147">
        <v>0</v>
      </c>
    </row>
    <row r="74" spans="1:4" x14ac:dyDescent="0.2">
      <c r="A74" s="63" t="s">
        <v>42</v>
      </c>
      <c r="B74" s="63" t="s">
        <v>90</v>
      </c>
      <c r="C74" s="143">
        <v>3.04E-2</v>
      </c>
      <c r="D74" s="144">
        <v>0</v>
      </c>
    </row>
    <row r="75" spans="1:4" x14ac:dyDescent="0.2">
      <c r="A75" s="293" t="s">
        <v>58</v>
      </c>
      <c r="B75" s="293"/>
      <c r="C75" s="293"/>
      <c r="D75" s="121">
        <f>SUM(D69:D74)</f>
        <v>0</v>
      </c>
    </row>
    <row r="76" spans="1:4" x14ac:dyDescent="0.2">
      <c r="A76" s="148"/>
      <c r="B76" s="148"/>
      <c r="C76" s="148"/>
      <c r="D76" s="149"/>
    </row>
    <row r="77" spans="1:4" x14ac:dyDescent="0.2">
      <c r="A77" s="295" t="s">
        <v>132</v>
      </c>
      <c r="B77" s="295"/>
      <c r="C77" s="295"/>
      <c r="D77" s="295"/>
    </row>
    <row r="78" spans="1:4" x14ac:dyDescent="0.2">
      <c r="A78" s="111" t="s">
        <v>33</v>
      </c>
      <c r="B78" s="111" t="s">
        <v>133</v>
      </c>
      <c r="C78" s="122"/>
      <c r="D78" s="121">
        <f>D26</f>
        <v>133920</v>
      </c>
    </row>
    <row r="79" spans="1:4" x14ac:dyDescent="0.2">
      <c r="A79" s="111" t="s">
        <v>35</v>
      </c>
      <c r="B79" s="111" t="s">
        <v>117</v>
      </c>
      <c r="C79" s="122"/>
      <c r="D79" s="121">
        <f>D65</f>
        <v>0</v>
      </c>
    </row>
    <row r="80" spans="1:4" x14ac:dyDescent="0.2">
      <c r="A80" s="63" t="s">
        <v>38</v>
      </c>
      <c r="B80" s="63" t="s">
        <v>134</v>
      </c>
      <c r="C80" s="150">
        <f>D78/12</f>
        <v>11160</v>
      </c>
      <c r="D80" s="150">
        <v>0</v>
      </c>
    </row>
    <row r="81" spans="1:4" x14ac:dyDescent="0.2">
      <c r="A81" s="111" t="s">
        <v>57</v>
      </c>
      <c r="B81" s="111" t="s">
        <v>118</v>
      </c>
      <c r="C81" s="122"/>
      <c r="D81" s="121">
        <f>D75</f>
        <v>0</v>
      </c>
    </row>
    <row r="82" spans="1:4" x14ac:dyDescent="0.2">
      <c r="A82" s="111" t="s">
        <v>41</v>
      </c>
      <c r="B82" s="111" t="s">
        <v>135</v>
      </c>
      <c r="C82" s="122"/>
      <c r="D82" s="168">
        <f>-(D51+D52)</f>
        <v>0</v>
      </c>
    </row>
    <row r="83" spans="1:4" x14ac:dyDescent="0.2">
      <c r="A83" s="293" t="s">
        <v>136</v>
      </c>
      <c r="B83" s="293"/>
      <c r="C83" s="293"/>
      <c r="D83" s="121">
        <f>SUM(D78:D82)</f>
        <v>133920</v>
      </c>
    </row>
    <row r="84" spans="1:4" ht="13.5" thickBot="1" x14ac:dyDescent="0.25">
      <c r="A84" s="148"/>
      <c r="B84" s="148"/>
      <c r="C84" s="148"/>
      <c r="D84" s="148"/>
    </row>
    <row r="85" spans="1:4" ht="13.5" thickBot="1" x14ac:dyDescent="0.25">
      <c r="A85" s="280" t="s">
        <v>91</v>
      </c>
      <c r="B85" s="280"/>
      <c r="C85" s="280"/>
      <c r="D85" s="280"/>
    </row>
    <row r="86" spans="1:4" ht="12.75" customHeight="1" x14ac:dyDescent="0.2">
      <c r="A86" s="296" t="s">
        <v>92</v>
      </c>
      <c r="B86" s="296"/>
      <c r="C86" s="296"/>
      <c r="D86" s="296"/>
    </row>
    <row r="87" spans="1:4" x14ac:dyDescent="0.2">
      <c r="A87" s="114" t="s">
        <v>93</v>
      </c>
      <c r="B87" s="114" t="s">
        <v>94</v>
      </c>
      <c r="C87" s="114" t="s">
        <v>84</v>
      </c>
      <c r="D87" s="114" t="s">
        <v>56</v>
      </c>
    </row>
    <row r="88" spans="1:4" x14ac:dyDescent="0.2">
      <c r="A88" s="111" t="s">
        <v>33</v>
      </c>
      <c r="B88" s="110" t="s">
        <v>95</v>
      </c>
      <c r="C88" s="123">
        <v>8.3299999999999999E-2</v>
      </c>
      <c r="D88" s="119">
        <v>0</v>
      </c>
    </row>
    <row r="89" spans="1:4" x14ac:dyDescent="0.2">
      <c r="A89" s="111" t="s">
        <v>35</v>
      </c>
      <c r="B89" s="110" t="s">
        <v>138</v>
      </c>
      <c r="C89" s="151">
        <v>2.2200000000000002E-3</v>
      </c>
      <c r="D89" s="119">
        <v>0</v>
      </c>
    </row>
    <row r="90" spans="1:4" x14ac:dyDescent="0.2">
      <c r="A90" s="111" t="s">
        <v>38</v>
      </c>
      <c r="B90" s="110" t="s">
        <v>96</v>
      </c>
      <c r="C90" s="151">
        <v>2.0000000000000001E-4</v>
      </c>
      <c r="D90" s="119">
        <v>0</v>
      </c>
    </row>
    <row r="91" spans="1:4" x14ac:dyDescent="0.2">
      <c r="A91" s="111" t="s">
        <v>57</v>
      </c>
      <c r="B91" s="110" t="s">
        <v>97</v>
      </c>
      <c r="C91" s="151">
        <v>2.7999999999999998E-4</v>
      </c>
      <c r="D91" s="119">
        <v>0</v>
      </c>
    </row>
    <row r="92" spans="1:4" x14ac:dyDescent="0.2">
      <c r="A92" s="111"/>
      <c r="B92" s="110" t="s">
        <v>139</v>
      </c>
      <c r="C92" s="151">
        <v>3.5999999999999999E-3</v>
      </c>
      <c r="D92" s="119">
        <v>0</v>
      </c>
    </row>
    <row r="93" spans="1:4" x14ac:dyDescent="0.2">
      <c r="A93" s="111" t="s">
        <v>41</v>
      </c>
      <c r="B93" s="110" t="s">
        <v>98</v>
      </c>
      <c r="C93" s="151">
        <v>3.8999999999999999E-4</v>
      </c>
      <c r="D93" s="119">
        <v>0</v>
      </c>
    </row>
    <row r="94" spans="1:4" x14ac:dyDescent="0.2">
      <c r="A94" s="111" t="s">
        <v>42</v>
      </c>
      <c r="B94" s="110" t="s">
        <v>126</v>
      </c>
      <c r="C94" s="146"/>
      <c r="D94" s="119">
        <f>(($D$26+$D$65+$D$75)-$D$51)*C94</f>
        <v>0</v>
      </c>
    </row>
    <row r="95" spans="1:4" x14ac:dyDescent="0.2">
      <c r="A95" s="122" t="s">
        <v>58</v>
      </c>
      <c r="B95" s="122"/>
      <c r="C95" s="122"/>
      <c r="D95" s="121">
        <f>SUM(D88:D94)</f>
        <v>0</v>
      </c>
    </row>
    <row r="96" spans="1:4" ht="12.75" customHeight="1" x14ac:dyDescent="0.2">
      <c r="A96" s="290" t="s">
        <v>99</v>
      </c>
      <c r="B96" s="291"/>
      <c r="C96" s="291"/>
      <c r="D96" s="292"/>
    </row>
    <row r="97" spans="1:4" x14ac:dyDescent="0.2">
      <c r="A97" s="122" t="s">
        <v>100</v>
      </c>
      <c r="B97" s="111" t="s">
        <v>101</v>
      </c>
      <c r="C97" s="111"/>
      <c r="D97" s="114" t="s">
        <v>56</v>
      </c>
    </row>
    <row r="98" spans="1:4" x14ac:dyDescent="0.2">
      <c r="A98" s="111" t="s">
        <v>33</v>
      </c>
      <c r="B98" s="111" t="s">
        <v>102</v>
      </c>
      <c r="C98" s="111"/>
      <c r="D98" s="119">
        <v>0</v>
      </c>
    </row>
    <row r="99" spans="1:4" x14ac:dyDescent="0.2">
      <c r="A99" s="122" t="s">
        <v>58</v>
      </c>
      <c r="B99" s="122"/>
      <c r="C99" s="122"/>
      <c r="D99" s="121"/>
    </row>
    <row r="100" spans="1:4" x14ac:dyDescent="0.2">
      <c r="A100" s="125"/>
      <c r="B100" s="125"/>
      <c r="C100" s="125"/>
      <c r="D100" s="125"/>
    </row>
    <row r="101" spans="1:4" ht="12.75" customHeight="1" x14ac:dyDescent="0.2">
      <c r="A101" s="287" t="s">
        <v>103</v>
      </c>
      <c r="B101" s="288"/>
      <c r="C101" s="288"/>
      <c r="D101" s="289"/>
    </row>
    <row r="102" spans="1:4" x14ac:dyDescent="0.2">
      <c r="A102" s="114">
        <v>4</v>
      </c>
      <c r="B102" s="152" t="s">
        <v>104</v>
      </c>
      <c r="C102" s="153"/>
      <c r="D102" s="114" t="s">
        <v>56</v>
      </c>
    </row>
    <row r="103" spans="1:4" x14ac:dyDescent="0.2">
      <c r="A103" s="110" t="s">
        <v>93</v>
      </c>
      <c r="B103" s="154" t="s">
        <v>94</v>
      </c>
      <c r="C103" s="155"/>
      <c r="D103" s="156">
        <f>D95</f>
        <v>0</v>
      </c>
    </row>
    <row r="104" spans="1:4" x14ac:dyDescent="0.2">
      <c r="A104" s="110" t="s">
        <v>100</v>
      </c>
      <c r="B104" s="154" t="s">
        <v>101</v>
      </c>
      <c r="C104" s="155"/>
      <c r="D104" s="119">
        <f>D99</f>
        <v>0</v>
      </c>
    </row>
    <row r="105" spans="1:4" x14ac:dyDescent="0.2">
      <c r="A105" s="157" t="s">
        <v>58</v>
      </c>
      <c r="B105" s="158"/>
      <c r="C105" s="159"/>
      <c r="D105" s="121">
        <f>SUM(D103:D104)</f>
        <v>0</v>
      </c>
    </row>
    <row r="106" spans="1:4" x14ac:dyDescent="0.2">
      <c r="A106" s="62" t="s">
        <v>54</v>
      </c>
      <c r="B106" s="62"/>
      <c r="C106" s="62"/>
      <c r="D106" s="62"/>
    </row>
    <row r="107" spans="1:4" ht="12.75" customHeight="1" x14ac:dyDescent="0.2">
      <c r="A107" s="287" t="s">
        <v>105</v>
      </c>
      <c r="B107" s="288"/>
      <c r="C107" s="288"/>
      <c r="D107" s="289"/>
    </row>
    <row r="108" spans="1:4" x14ac:dyDescent="0.2">
      <c r="A108" s="114">
        <v>5</v>
      </c>
      <c r="B108" s="114" t="s">
        <v>106</v>
      </c>
      <c r="C108" s="114"/>
      <c r="D108" s="114" t="s">
        <v>56</v>
      </c>
    </row>
    <row r="109" spans="1:4" x14ac:dyDescent="0.2">
      <c r="A109" s="132" t="s">
        <v>33</v>
      </c>
      <c r="B109" s="160" t="s">
        <v>141</v>
      </c>
      <c r="C109" s="160"/>
      <c r="D109" s="136">
        <v>137.56</v>
      </c>
    </row>
    <row r="110" spans="1:4" x14ac:dyDescent="0.2">
      <c r="A110" s="110" t="s">
        <v>35</v>
      </c>
      <c r="B110" s="110" t="s">
        <v>164</v>
      </c>
      <c r="C110" s="114"/>
      <c r="D110" s="116">
        <v>0</v>
      </c>
    </row>
    <row r="111" spans="1:4" x14ac:dyDescent="0.2">
      <c r="A111" s="114" t="s">
        <v>58</v>
      </c>
      <c r="B111" s="114"/>
      <c r="C111" s="114"/>
      <c r="D111" s="117">
        <f>D109+D110</f>
        <v>137.56</v>
      </c>
    </row>
    <row r="112" spans="1:4" x14ac:dyDescent="0.2">
      <c r="A112" s="301"/>
      <c r="B112" s="301"/>
      <c r="C112" s="301"/>
      <c r="D112" s="301"/>
    </row>
    <row r="113" spans="1:4" ht="12.75" customHeight="1" x14ac:dyDescent="0.2">
      <c r="A113" s="287" t="s">
        <v>107</v>
      </c>
      <c r="B113" s="288"/>
      <c r="C113" s="288"/>
      <c r="D113" s="289"/>
    </row>
    <row r="114" spans="1:4" x14ac:dyDescent="0.2">
      <c r="A114" s="114">
        <v>6</v>
      </c>
      <c r="B114" s="114" t="s">
        <v>108</v>
      </c>
      <c r="C114" s="114" t="s">
        <v>68</v>
      </c>
      <c r="D114" s="114" t="s">
        <v>56</v>
      </c>
    </row>
    <row r="115" spans="1:4" x14ac:dyDescent="0.2">
      <c r="A115" s="110" t="s">
        <v>33</v>
      </c>
      <c r="B115" s="160" t="s">
        <v>109</v>
      </c>
      <c r="C115" s="161">
        <v>0.05</v>
      </c>
      <c r="D115" s="116">
        <f>C115*D131</f>
        <v>6702.8780000000006</v>
      </c>
    </row>
    <row r="116" spans="1:4" x14ac:dyDescent="0.2">
      <c r="A116" s="110" t="s">
        <v>35</v>
      </c>
      <c r="B116" s="160" t="s">
        <v>110</v>
      </c>
      <c r="C116" s="161">
        <v>0.1</v>
      </c>
      <c r="D116" s="116">
        <f>C116*(D115+D131)</f>
        <v>14076.043799999999</v>
      </c>
    </row>
    <row r="117" spans="1:4" x14ac:dyDescent="0.2">
      <c r="A117" s="110" t="s">
        <v>38</v>
      </c>
      <c r="B117" s="160" t="s">
        <v>111</v>
      </c>
      <c r="C117" s="162">
        <f>SUM(C118:C120)</f>
        <v>5.6499999999999995E-2</v>
      </c>
      <c r="D117" s="116">
        <f>(D26+D65+D75+D105+D110+D115+D116)*(C118+C119+C120)/(1-(C118+C119+C120))</f>
        <v>9263.8993976682559</v>
      </c>
    </row>
    <row r="118" spans="1:4" x14ac:dyDescent="0.2">
      <c r="A118" s="110"/>
      <c r="B118" s="132" t="s">
        <v>112</v>
      </c>
      <c r="C118" s="162">
        <v>6.4999999999999997E-3</v>
      </c>
      <c r="D118" s="116">
        <f>C118*D133</f>
        <v>1066.6524777848438</v>
      </c>
    </row>
    <row r="119" spans="1:4" x14ac:dyDescent="0.2">
      <c r="A119" s="110"/>
      <c r="B119" s="132" t="s">
        <v>113</v>
      </c>
      <c r="C119" s="162">
        <v>0.03</v>
      </c>
      <c r="D119" s="116">
        <f>C119*D133</f>
        <v>4923.0114359300478</v>
      </c>
    </row>
    <row r="120" spans="1:4" x14ac:dyDescent="0.2">
      <c r="A120" s="110"/>
      <c r="B120" s="110" t="s">
        <v>114</v>
      </c>
      <c r="C120" s="163">
        <v>0.02</v>
      </c>
      <c r="D120" s="116">
        <f>C120*D133</f>
        <v>3282.0076239533655</v>
      </c>
    </row>
    <row r="121" spans="1:4" x14ac:dyDescent="0.2">
      <c r="A121" s="114" t="s">
        <v>58</v>
      </c>
      <c r="B121" s="114"/>
      <c r="C121" s="114"/>
      <c r="D121" s="117">
        <f>SUM(D115:D117)</f>
        <v>30042.821197668258</v>
      </c>
    </row>
    <row r="122" spans="1:4" x14ac:dyDescent="0.2">
      <c r="A122" s="62"/>
      <c r="B122" s="62"/>
      <c r="C122" s="62"/>
      <c r="D122" s="62"/>
    </row>
    <row r="123" spans="1:4" ht="12.75" customHeight="1" x14ac:dyDescent="0.2">
      <c r="A123" s="321" t="s">
        <v>115</v>
      </c>
      <c r="B123" s="322"/>
      <c r="C123" s="322"/>
      <c r="D123" s="323"/>
    </row>
    <row r="124" spans="1:4" x14ac:dyDescent="0.2">
      <c r="A124" s="62" t="s">
        <v>54</v>
      </c>
      <c r="B124" s="62"/>
      <c r="C124" s="62"/>
      <c r="D124" s="62"/>
    </row>
    <row r="125" spans="1:4" x14ac:dyDescent="0.2">
      <c r="A125" s="110"/>
      <c r="B125" s="114" t="s">
        <v>116</v>
      </c>
      <c r="C125" s="114"/>
      <c r="D125" s="114" t="s">
        <v>56</v>
      </c>
    </row>
    <row r="126" spans="1:4" x14ac:dyDescent="0.2">
      <c r="A126" s="110" t="s">
        <v>33</v>
      </c>
      <c r="B126" s="285" t="s">
        <v>53</v>
      </c>
      <c r="C126" s="286"/>
      <c r="D126" s="116">
        <f>D26</f>
        <v>133920</v>
      </c>
    </row>
    <row r="127" spans="1:4" x14ac:dyDescent="0.2">
      <c r="A127" s="110" t="s">
        <v>35</v>
      </c>
      <c r="B127" s="285" t="s">
        <v>117</v>
      </c>
      <c r="C127" s="286"/>
      <c r="D127" s="116">
        <f>D65</f>
        <v>0</v>
      </c>
    </row>
    <row r="128" spans="1:4" x14ac:dyDescent="0.2">
      <c r="A128" s="110" t="s">
        <v>38</v>
      </c>
      <c r="B128" s="285" t="s">
        <v>118</v>
      </c>
      <c r="C128" s="286"/>
      <c r="D128" s="116">
        <f>D75</f>
        <v>0</v>
      </c>
    </row>
    <row r="129" spans="1:4" x14ac:dyDescent="0.2">
      <c r="A129" s="110" t="s">
        <v>57</v>
      </c>
      <c r="B129" s="285" t="s">
        <v>119</v>
      </c>
      <c r="C129" s="286"/>
      <c r="D129" s="116">
        <f>D105</f>
        <v>0</v>
      </c>
    </row>
    <row r="130" spans="1:4" x14ac:dyDescent="0.2">
      <c r="A130" s="110" t="s">
        <v>41</v>
      </c>
      <c r="B130" s="285" t="s">
        <v>120</v>
      </c>
      <c r="C130" s="286"/>
      <c r="D130" s="116">
        <f>D111</f>
        <v>137.56</v>
      </c>
    </row>
    <row r="131" spans="1:4" ht="12.75" customHeight="1" x14ac:dyDescent="0.2">
      <c r="A131" s="281" t="s">
        <v>121</v>
      </c>
      <c r="B131" s="282"/>
      <c r="C131" s="283"/>
      <c r="D131" s="117">
        <f>SUM(D126:D130)</f>
        <v>134057.56</v>
      </c>
    </row>
    <row r="132" spans="1:4" x14ac:dyDescent="0.2">
      <c r="A132" s="110" t="s">
        <v>42</v>
      </c>
      <c r="B132" s="285" t="s">
        <v>122</v>
      </c>
      <c r="C132" s="286"/>
      <c r="D132" s="116">
        <f>D121</f>
        <v>30042.821197668258</v>
      </c>
    </row>
    <row r="133" spans="1:4" x14ac:dyDescent="0.2">
      <c r="A133" s="298" t="s">
        <v>123</v>
      </c>
      <c r="B133" s="299"/>
      <c r="C133" s="300"/>
      <c r="D133" s="121">
        <f>SUM(D131+D132)</f>
        <v>164100.38119766826</v>
      </c>
    </row>
    <row r="134" spans="1:4" x14ac:dyDescent="0.2">
      <c r="A134" s="148"/>
      <c r="B134" s="148"/>
      <c r="C134" s="148"/>
      <c r="D134" s="149"/>
    </row>
    <row r="135" spans="1:4" x14ac:dyDescent="0.2">
      <c r="A135" s="148"/>
      <c r="B135" s="148"/>
      <c r="C135" s="122" t="s">
        <v>129</v>
      </c>
      <c r="D135" s="122">
        <v>2</v>
      </c>
    </row>
    <row r="136" spans="1:4" x14ac:dyDescent="0.2">
      <c r="A136" s="62"/>
      <c r="B136" s="62"/>
      <c r="C136" s="111" t="s">
        <v>124</v>
      </c>
      <c r="D136" s="164">
        <f>D135*D133</f>
        <v>328200.76239533653</v>
      </c>
    </row>
    <row r="137" spans="1:4" x14ac:dyDescent="0.2">
      <c r="A137" s="62"/>
      <c r="B137" s="62"/>
      <c r="C137" s="122" t="s">
        <v>128</v>
      </c>
      <c r="D137" s="165">
        <v>12</v>
      </c>
    </row>
    <row r="138" spans="1:4" x14ac:dyDescent="0.2">
      <c r="A138" s="62"/>
      <c r="B138" s="62"/>
      <c r="C138" s="111" t="s">
        <v>125</v>
      </c>
      <c r="D138" s="166">
        <f>D137*D136</f>
        <v>3938409.1487440383</v>
      </c>
    </row>
  </sheetData>
  <mergeCells count="59">
    <mergeCell ref="A86:D86"/>
    <mergeCell ref="B61:C61"/>
    <mergeCell ref="A65:C65"/>
    <mergeCell ref="A123:D123"/>
    <mergeCell ref="B130:C130"/>
    <mergeCell ref="B126:C126"/>
    <mergeCell ref="B127:C127"/>
    <mergeCell ref="A1:D1"/>
    <mergeCell ref="A2:D2"/>
    <mergeCell ref="A3:D3"/>
    <mergeCell ref="A4:C4"/>
    <mergeCell ref="A6:D6"/>
    <mergeCell ref="B7:C7"/>
    <mergeCell ref="A59:D59"/>
    <mergeCell ref="A33:B33"/>
    <mergeCell ref="A35:C35"/>
    <mergeCell ref="A36:D36"/>
    <mergeCell ref="A48:D48"/>
    <mergeCell ref="B50:C50"/>
    <mergeCell ref="A58:C58"/>
    <mergeCell ref="B8:C8"/>
    <mergeCell ref="B9:C9"/>
    <mergeCell ref="A14:D14"/>
    <mergeCell ref="A37:D37"/>
    <mergeCell ref="B21:C21"/>
    <mergeCell ref="A29:D29"/>
    <mergeCell ref="A34:B34"/>
    <mergeCell ref="A49:D49"/>
    <mergeCell ref="B132:C132"/>
    <mergeCell ref="A133:C133"/>
    <mergeCell ref="A112:D112"/>
    <mergeCell ref="A113:D113"/>
    <mergeCell ref="A107:D107"/>
    <mergeCell ref="A28:D28"/>
    <mergeCell ref="B30:C30"/>
    <mergeCell ref="B128:C128"/>
    <mergeCell ref="B129:C129"/>
    <mergeCell ref="A131:C131"/>
    <mergeCell ref="A101:D101"/>
    <mergeCell ref="A96:D96"/>
    <mergeCell ref="A83:C83"/>
    <mergeCell ref="A85:D85"/>
    <mergeCell ref="A67:D67"/>
    <mergeCell ref="A75:C75"/>
    <mergeCell ref="A77:D77"/>
    <mergeCell ref="A60:D60"/>
    <mergeCell ref="B62:C62"/>
    <mergeCell ref="B63:C63"/>
    <mergeCell ref="B64:C64"/>
    <mergeCell ref="B16:C16"/>
    <mergeCell ref="B17:C17"/>
    <mergeCell ref="B18:C18"/>
    <mergeCell ref="A20:D20"/>
    <mergeCell ref="A26:C26"/>
    <mergeCell ref="A10:D10"/>
    <mergeCell ref="A11:D11"/>
    <mergeCell ref="A12:C12"/>
    <mergeCell ref="A13:C13"/>
    <mergeCell ref="A15:D15"/>
  </mergeCells>
  <pageMargins left="0.25" right="0.25" top="0.75" bottom="0.75" header="0.3" footer="0.3"/>
  <pageSetup paperSize="9" scale="95" fitToHeight="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0"/>
  <sheetViews>
    <sheetView zoomScaleNormal="100" workbookViewId="0">
      <pane ySplit="1" topLeftCell="A2" activePane="bottomLeft" state="frozen"/>
      <selection pane="bottomLeft" activeCell="E20" sqref="E20"/>
    </sheetView>
  </sheetViews>
  <sheetFormatPr defaultRowHeight="12.75" x14ac:dyDescent="0.25"/>
  <cols>
    <col min="1" max="1" width="5" style="148" bestFit="1" customWidth="1"/>
    <col min="2" max="2" width="54.140625" style="148" bestFit="1" customWidth="1"/>
    <col min="3" max="3" width="17.28515625" style="148" bestFit="1" customWidth="1"/>
    <col min="4" max="4" width="18.42578125" style="148" bestFit="1" customWidth="1"/>
    <col min="5" max="5" width="75.28515625" style="62" customWidth="1"/>
    <col min="6" max="6" width="75.28515625" style="148" customWidth="1"/>
    <col min="7" max="16384" width="9.140625" style="148"/>
  </cols>
  <sheetData>
    <row r="1" spans="1:4" x14ac:dyDescent="0.25">
      <c r="A1" s="394" t="s">
        <v>296</v>
      </c>
      <c r="B1" s="394"/>
      <c r="C1" s="394"/>
      <c r="D1" s="394"/>
    </row>
    <row r="2" spans="1:4" x14ac:dyDescent="0.25">
      <c r="A2" s="395"/>
      <c r="B2" s="394"/>
      <c r="C2" s="394"/>
      <c r="D2" s="396"/>
    </row>
    <row r="3" spans="1:4" ht="13.5" thickBot="1" x14ac:dyDescent="0.3">
      <c r="A3" s="397" t="s">
        <v>30</v>
      </c>
      <c r="B3" s="397"/>
      <c r="C3" s="397"/>
      <c r="D3" s="397"/>
    </row>
    <row r="4" spans="1:4" x14ac:dyDescent="0.25">
      <c r="A4" s="405" t="s">
        <v>31</v>
      </c>
      <c r="B4" s="406"/>
      <c r="C4" s="406"/>
      <c r="D4" s="189"/>
    </row>
    <row r="5" spans="1:4" x14ac:dyDescent="0.25">
      <c r="A5" s="190"/>
      <c r="B5" s="191"/>
      <c r="C5" s="191"/>
      <c r="D5" s="191"/>
    </row>
    <row r="6" spans="1:4" ht="13.5" thickBot="1" x14ac:dyDescent="0.3">
      <c r="A6" s="400" t="s">
        <v>32</v>
      </c>
      <c r="B6" s="400"/>
      <c r="C6" s="400"/>
      <c r="D6" s="400"/>
    </row>
    <row r="7" spans="1:4" x14ac:dyDescent="0.25">
      <c r="A7" s="192" t="s">
        <v>33</v>
      </c>
      <c r="B7" s="407" t="s">
        <v>34</v>
      </c>
      <c r="C7" s="407"/>
      <c r="D7" s="193"/>
    </row>
    <row r="8" spans="1:4" x14ac:dyDescent="0.25">
      <c r="A8" s="194" t="s">
        <v>35</v>
      </c>
      <c r="B8" s="388" t="s">
        <v>36</v>
      </c>
      <c r="C8" s="388"/>
      <c r="D8" s="195" t="s">
        <v>37</v>
      </c>
    </row>
    <row r="9" spans="1:4" x14ac:dyDescent="0.25">
      <c r="A9" s="196" t="s">
        <v>38</v>
      </c>
      <c r="B9" s="378" t="s">
        <v>39</v>
      </c>
      <c r="C9" s="378"/>
      <c r="D9" s="197" t="s">
        <v>247</v>
      </c>
    </row>
    <row r="10" spans="1:4" x14ac:dyDescent="0.25">
      <c r="A10" s="196" t="s">
        <v>57</v>
      </c>
      <c r="B10" s="389" t="s">
        <v>197</v>
      </c>
      <c r="C10" s="390"/>
      <c r="D10" s="195" t="s">
        <v>149</v>
      </c>
    </row>
    <row r="11" spans="1:4" x14ac:dyDescent="0.25">
      <c r="A11" s="196" t="s">
        <v>41</v>
      </c>
      <c r="B11" s="378" t="s">
        <v>40</v>
      </c>
      <c r="C11" s="378"/>
      <c r="D11" s="198">
        <v>45679</v>
      </c>
    </row>
    <row r="12" spans="1:4" x14ac:dyDescent="0.25">
      <c r="A12" s="196" t="s">
        <v>42</v>
      </c>
      <c r="B12" s="378" t="s">
        <v>45</v>
      </c>
      <c r="C12" s="378"/>
      <c r="D12" s="195" t="s">
        <v>46</v>
      </c>
    </row>
    <row r="13" spans="1:4" x14ac:dyDescent="0.25">
      <c r="A13" s="378"/>
      <c r="B13" s="378"/>
      <c r="C13" s="378"/>
      <c r="D13" s="378"/>
    </row>
    <row r="14" spans="1:4" ht="13.5" thickBot="1" x14ac:dyDescent="0.3">
      <c r="A14" s="391" t="s">
        <v>47</v>
      </c>
      <c r="B14" s="391"/>
      <c r="C14" s="391"/>
      <c r="D14" s="391"/>
    </row>
    <row r="15" spans="1:4" ht="24" x14ac:dyDescent="0.25">
      <c r="A15" s="378" t="s">
        <v>48</v>
      </c>
      <c r="B15" s="378"/>
      <c r="C15" s="378"/>
      <c r="D15" s="196" t="s">
        <v>127</v>
      </c>
    </row>
    <row r="16" spans="1:4" x14ac:dyDescent="0.25">
      <c r="A16" s="378" t="s">
        <v>150</v>
      </c>
      <c r="B16" s="378"/>
      <c r="C16" s="378"/>
      <c r="D16" s="195" t="s">
        <v>217</v>
      </c>
    </row>
    <row r="17" spans="1:5" x14ac:dyDescent="0.25">
      <c r="A17" s="392"/>
      <c r="B17" s="392"/>
      <c r="C17" s="392"/>
      <c r="D17" s="390"/>
    </row>
    <row r="18" spans="1:5" ht="13.5" thickBot="1" x14ac:dyDescent="0.3">
      <c r="A18" s="391" t="s">
        <v>49</v>
      </c>
      <c r="B18" s="391"/>
      <c r="C18" s="391"/>
      <c r="D18" s="391"/>
    </row>
    <row r="19" spans="1:5" x14ac:dyDescent="0.25">
      <c r="A19" s="194">
        <v>3</v>
      </c>
      <c r="B19" s="386" t="s">
        <v>50</v>
      </c>
      <c r="C19" s="387"/>
      <c r="D19" s="200">
        <v>1611.09</v>
      </c>
    </row>
    <row r="20" spans="1:5" ht="24" x14ac:dyDescent="0.25">
      <c r="A20" s="196">
        <v>4</v>
      </c>
      <c r="B20" s="378" t="s">
        <v>51</v>
      </c>
      <c r="C20" s="378"/>
      <c r="D20" s="196" t="s">
        <v>311</v>
      </c>
    </row>
    <row r="21" spans="1:5" x14ac:dyDescent="0.25">
      <c r="A21" s="196">
        <v>6</v>
      </c>
      <c r="B21" s="378" t="s">
        <v>52</v>
      </c>
      <c r="C21" s="378"/>
      <c r="D21" s="200">
        <v>1518</v>
      </c>
    </row>
    <row r="22" spans="1:5" ht="13.5" thickBot="1" x14ac:dyDescent="0.3">
      <c r="A22" s="201"/>
      <c r="B22" s="201"/>
      <c r="C22" s="201"/>
      <c r="D22" s="201"/>
    </row>
    <row r="23" spans="1:5" ht="13.5" thickBot="1" x14ac:dyDescent="0.3">
      <c r="A23" s="366" t="s">
        <v>53</v>
      </c>
      <c r="B23" s="366"/>
      <c r="C23" s="366"/>
      <c r="D23" s="366"/>
      <c r="E23" s="172"/>
    </row>
    <row r="24" spans="1:5" x14ac:dyDescent="0.25">
      <c r="A24" s="202">
        <v>1</v>
      </c>
      <c r="B24" s="375" t="s">
        <v>55</v>
      </c>
      <c r="C24" s="375"/>
      <c r="D24" s="202" t="s">
        <v>56</v>
      </c>
    </row>
    <row r="25" spans="1:5" x14ac:dyDescent="0.25">
      <c r="A25" s="194" t="s">
        <v>33</v>
      </c>
      <c r="B25" s="194" t="s">
        <v>166</v>
      </c>
      <c r="C25" s="194"/>
      <c r="D25" s="203">
        <f>D19</f>
        <v>1611.09</v>
      </c>
    </row>
    <row r="26" spans="1:5" x14ac:dyDescent="0.25">
      <c r="A26" s="194" t="s">
        <v>35</v>
      </c>
      <c r="B26" s="194" t="s">
        <v>151</v>
      </c>
      <c r="C26" s="194"/>
      <c r="D26" s="203">
        <f>D25*0.2</f>
        <v>322.21800000000002</v>
      </c>
      <c r="E26" s="170"/>
    </row>
    <row r="27" spans="1:5" x14ac:dyDescent="0.25">
      <c r="A27" s="375" t="s">
        <v>58</v>
      </c>
      <c r="B27" s="375"/>
      <c r="C27" s="375"/>
      <c r="D27" s="204">
        <f>SUM(D25:D26)</f>
        <v>1933.308</v>
      </c>
    </row>
    <row r="28" spans="1:5" ht="13.5" thickBot="1" x14ac:dyDescent="0.3">
      <c r="A28" s="201" t="s">
        <v>54</v>
      </c>
      <c r="B28" s="201"/>
      <c r="C28" s="201"/>
      <c r="D28" s="201"/>
    </row>
    <row r="29" spans="1:5" ht="13.5" thickBot="1" x14ac:dyDescent="0.3">
      <c r="A29" s="366" t="s">
        <v>59</v>
      </c>
      <c r="B29" s="366"/>
      <c r="C29" s="366"/>
      <c r="D29" s="366"/>
    </row>
    <row r="30" spans="1:5" x14ac:dyDescent="0.25">
      <c r="A30" s="379" t="s">
        <v>60</v>
      </c>
      <c r="B30" s="379"/>
      <c r="C30" s="379"/>
      <c r="D30" s="379"/>
    </row>
    <row r="31" spans="1:5" x14ac:dyDescent="0.25">
      <c r="A31" s="202" t="s">
        <v>61</v>
      </c>
      <c r="B31" s="375" t="s">
        <v>62</v>
      </c>
      <c r="C31" s="375"/>
      <c r="D31" s="202" t="s">
        <v>56</v>
      </c>
    </row>
    <row r="32" spans="1:5" x14ac:dyDescent="0.25">
      <c r="A32" s="195" t="s">
        <v>33</v>
      </c>
      <c r="B32" s="195" t="s">
        <v>63</v>
      </c>
      <c r="C32" s="205">
        <v>8.3299999999999999E-2</v>
      </c>
      <c r="D32" s="206">
        <f>C32*D27</f>
        <v>161.0445564</v>
      </c>
    </row>
    <row r="33" spans="1:4" x14ac:dyDescent="0.25">
      <c r="A33" s="195" t="s">
        <v>35</v>
      </c>
      <c r="B33" s="195" t="s">
        <v>64</v>
      </c>
      <c r="C33" s="205">
        <v>2.7799999999999998E-2</v>
      </c>
      <c r="D33" s="206">
        <f>SUM(D27*C33)</f>
        <v>53.745962399999996</v>
      </c>
    </row>
    <row r="34" spans="1:4" x14ac:dyDescent="0.25">
      <c r="A34" s="380" t="s">
        <v>131</v>
      </c>
      <c r="B34" s="381"/>
      <c r="C34" s="207">
        <f>SUM(C32+C33)</f>
        <v>0.1111</v>
      </c>
      <c r="D34" s="208">
        <f>SUM(D32:D33)</f>
        <v>214.7905188</v>
      </c>
    </row>
    <row r="35" spans="1:4" x14ac:dyDescent="0.25">
      <c r="A35" s="382" t="s">
        <v>130</v>
      </c>
      <c r="B35" s="364"/>
      <c r="C35" s="210">
        <f>SUM(C40:C47)</f>
        <v>0.36800000000000005</v>
      </c>
      <c r="D35" s="206">
        <f>SUM(D34*C35)</f>
        <v>79.042910918400011</v>
      </c>
    </row>
    <row r="36" spans="1:4" x14ac:dyDescent="0.25">
      <c r="A36" s="383" t="s">
        <v>58</v>
      </c>
      <c r="B36" s="384"/>
      <c r="C36" s="385"/>
      <c r="D36" s="211">
        <f>SUM(D34+D35)</f>
        <v>293.8334297184</v>
      </c>
    </row>
    <row r="37" spans="1:4" x14ac:dyDescent="0.25">
      <c r="A37" s="376"/>
      <c r="B37" s="376"/>
      <c r="C37" s="376"/>
      <c r="D37" s="376"/>
    </row>
    <row r="38" spans="1:4" x14ac:dyDescent="0.25">
      <c r="A38" s="367" t="s">
        <v>65</v>
      </c>
      <c r="B38" s="367"/>
      <c r="C38" s="367"/>
      <c r="D38" s="367"/>
    </row>
    <row r="39" spans="1:4" x14ac:dyDescent="0.25">
      <c r="A39" s="213" t="s">
        <v>66</v>
      </c>
      <c r="B39" s="213" t="s">
        <v>67</v>
      </c>
      <c r="C39" s="213" t="s">
        <v>68</v>
      </c>
      <c r="D39" s="213" t="s">
        <v>56</v>
      </c>
    </row>
    <row r="40" spans="1:4" x14ac:dyDescent="0.25">
      <c r="A40" s="214" t="s">
        <v>33</v>
      </c>
      <c r="B40" s="214" t="s">
        <v>69</v>
      </c>
      <c r="C40" s="210">
        <v>0.2</v>
      </c>
      <c r="D40" s="203">
        <f>D27*C40</f>
        <v>386.66160000000002</v>
      </c>
    </row>
    <row r="41" spans="1:4" x14ac:dyDescent="0.25">
      <c r="A41" s="214" t="s">
        <v>35</v>
      </c>
      <c r="B41" s="214" t="s">
        <v>70</v>
      </c>
      <c r="C41" s="210">
        <v>2.5000000000000001E-2</v>
      </c>
      <c r="D41" s="203">
        <f>D27*C41</f>
        <v>48.332700000000003</v>
      </c>
    </row>
    <row r="42" spans="1:4" x14ac:dyDescent="0.25">
      <c r="A42" s="214" t="s">
        <v>38</v>
      </c>
      <c r="B42" s="215" t="s">
        <v>71</v>
      </c>
      <c r="C42" s="216">
        <v>0.03</v>
      </c>
      <c r="D42" s="203">
        <f>D27*C42</f>
        <v>57.99924</v>
      </c>
    </row>
    <row r="43" spans="1:4" x14ac:dyDescent="0.25">
      <c r="A43" s="214" t="s">
        <v>57</v>
      </c>
      <c r="B43" s="214" t="s">
        <v>72</v>
      </c>
      <c r="C43" s="210">
        <v>1.4999999999999999E-2</v>
      </c>
      <c r="D43" s="203">
        <f>D27*C43</f>
        <v>28.99962</v>
      </c>
    </row>
    <row r="44" spans="1:4" x14ac:dyDescent="0.25">
      <c r="A44" s="214" t="s">
        <v>41</v>
      </c>
      <c r="B44" s="214" t="s">
        <v>73</v>
      </c>
      <c r="C44" s="210">
        <v>0.01</v>
      </c>
      <c r="D44" s="203">
        <f>D27*C44</f>
        <v>19.333079999999999</v>
      </c>
    </row>
    <row r="45" spans="1:4" x14ac:dyDescent="0.25">
      <c r="A45" s="214" t="s">
        <v>42</v>
      </c>
      <c r="B45" s="214" t="s">
        <v>74</v>
      </c>
      <c r="C45" s="210">
        <v>6.0000000000000001E-3</v>
      </c>
      <c r="D45" s="203">
        <f>D27*C45</f>
        <v>11.599848</v>
      </c>
    </row>
    <row r="46" spans="1:4" x14ac:dyDescent="0.25">
      <c r="A46" s="214" t="s">
        <v>43</v>
      </c>
      <c r="B46" s="214" t="s">
        <v>75</v>
      </c>
      <c r="C46" s="210">
        <v>2E-3</v>
      </c>
      <c r="D46" s="203">
        <f>D27*C46</f>
        <v>3.8666160000000001</v>
      </c>
    </row>
    <row r="47" spans="1:4" x14ac:dyDescent="0.25">
      <c r="A47" s="214" t="s">
        <v>44</v>
      </c>
      <c r="B47" s="214" t="s">
        <v>76</v>
      </c>
      <c r="C47" s="210">
        <v>0.08</v>
      </c>
      <c r="D47" s="203">
        <f>D27*C47</f>
        <v>154.66463999999999</v>
      </c>
    </row>
    <row r="48" spans="1:4" x14ac:dyDescent="0.25">
      <c r="A48" s="214"/>
      <c r="B48" s="213" t="s">
        <v>58</v>
      </c>
      <c r="C48" s="210">
        <f>SUM(C40:C47)</f>
        <v>0.36800000000000005</v>
      </c>
      <c r="D48" s="204">
        <f>SUM(D40:D47)</f>
        <v>711.45734399999992</v>
      </c>
    </row>
    <row r="49" spans="1:4" x14ac:dyDescent="0.25">
      <c r="A49" s="376"/>
      <c r="B49" s="376"/>
      <c r="C49" s="376"/>
      <c r="D49" s="376"/>
    </row>
    <row r="50" spans="1:4" x14ac:dyDescent="0.25">
      <c r="A50" s="367" t="s">
        <v>77</v>
      </c>
      <c r="B50" s="367"/>
      <c r="C50" s="367"/>
      <c r="D50" s="367"/>
    </row>
    <row r="51" spans="1:4" x14ac:dyDescent="0.25">
      <c r="A51" s="202" t="s">
        <v>78</v>
      </c>
      <c r="B51" s="375" t="s">
        <v>79</v>
      </c>
      <c r="C51" s="375"/>
      <c r="D51" s="202" t="s">
        <v>56</v>
      </c>
    </row>
    <row r="52" spans="1:4" x14ac:dyDescent="0.25">
      <c r="A52" s="194" t="s">
        <v>33</v>
      </c>
      <c r="B52" s="194" t="s">
        <v>140</v>
      </c>
      <c r="C52" s="217">
        <v>5.15</v>
      </c>
      <c r="D52" s="206">
        <f>(2*5.15*15.2) - (D25*6%)</f>
        <v>59.894600000000011</v>
      </c>
    </row>
    <row r="53" spans="1:4" x14ac:dyDescent="0.25">
      <c r="A53" s="194" t="s">
        <v>35</v>
      </c>
      <c r="B53" s="218" t="s">
        <v>146</v>
      </c>
      <c r="C53" s="219">
        <v>27.29</v>
      </c>
      <c r="D53" s="220">
        <f>27.29*15.2*99%</f>
        <v>410.65992</v>
      </c>
    </row>
    <row r="54" spans="1:4" x14ac:dyDescent="0.25">
      <c r="A54" s="194" t="s">
        <v>38</v>
      </c>
      <c r="B54" s="194" t="s">
        <v>142</v>
      </c>
      <c r="C54" s="217"/>
      <c r="D54" s="206">
        <v>11</v>
      </c>
    </row>
    <row r="55" spans="1:4" x14ac:dyDescent="0.25">
      <c r="A55" s="194" t="s">
        <v>57</v>
      </c>
      <c r="B55" s="194" t="s">
        <v>147</v>
      </c>
      <c r="C55" s="221"/>
      <c r="D55" s="222">
        <f>SUM(D27*7%)</f>
        <v>135.33156000000002</v>
      </c>
    </row>
    <row r="56" spans="1:4" x14ac:dyDescent="0.25">
      <c r="A56" s="194" t="s">
        <v>41</v>
      </c>
      <c r="B56" s="194" t="s">
        <v>144</v>
      </c>
      <c r="C56" s="221"/>
      <c r="D56" s="222">
        <v>200</v>
      </c>
    </row>
    <row r="57" spans="1:4" x14ac:dyDescent="0.25">
      <c r="A57" s="194" t="s">
        <v>42</v>
      </c>
      <c r="B57" s="194" t="s">
        <v>143</v>
      </c>
      <c r="C57" s="221"/>
      <c r="D57" s="222">
        <v>10.46</v>
      </c>
    </row>
    <row r="58" spans="1:4" x14ac:dyDescent="0.25">
      <c r="A58" s="194" t="s">
        <v>43</v>
      </c>
      <c r="B58" s="194" t="s">
        <v>145</v>
      </c>
      <c r="C58" s="221">
        <v>0.01</v>
      </c>
      <c r="D58" s="222">
        <f>D27*1/100</f>
        <v>19.333079999999999</v>
      </c>
    </row>
    <row r="59" spans="1:4" x14ac:dyDescent="0.25">
      <c r="A59" s="375" t="s">
        <v>58</v>
      </c>
      <c r="B59" s="375"/>
      <c r="C59" s="375"/>
      <c r="D59" s="208">
        <f>SUM(D52:D58)</f>
        <v>846.67916000000002</v>
      </c>
    </row>
    <row r="60" spans="1:4" x14ac:dyDescent="0.25">
      <c r="A60" s="376"/>
      <c r="B60" s="376"/>
      <c r="C60" s="376"/>
      <c r="D60" s="376"/>
    </row>
    <row r="61" spans="1:4" x14ac:dyDescent="0.25">
      <c r="A61" s="367" t="s">
        <v>80</v>
      </c>
      <c r="B61" s="367"/>
      <c r="C61" s="367"/>
      <c r="D61" s="367"/>
    </row>
    <row r="62" spans="1:4" x14ac:dyDescent="0.25">
      <c r="A62" s="202">
        <v>2</v>
      </c>
      <c r="B62" s="375" t="s">
        <v>81</v>
      </c>
      <c r="C62" s="375"/>
      <c r="D62" s="202" t="s">
        <v>56</v>
      </c>
    </row>
    <row r="63" spans="1:4" x14ac:dyDescent="0.25">
      <c r="A63" s="194" t="s">
        <v>61</v>
      </c>
      <c r="B63" s="377" t="s">
        <v>82</v>
      </c>
      <c r="C63" s="377"/>
      <c r="D63" s="203">
        <f>D36</f>
        <v>293.8334297184</v>
      </c>
    </row>
    <row r="64" spans="1:4" x14ac:dyDescent="0.25">
      <c r="A64" s="194" t="s">
        <v>66</v>
      </c>
      <c r="B64" s="377" t="s">
        <v>67</v>
      </c>
      <c r="C64" s="377"/>
      <c r="D64" s="203">
        <f>D48</f>
        <v>711.45734399999992</v>
      </c>
    </row>
    <row r="65" spans="1:9" x14ac:dyDescent="0.25">
      <c r="A65" s="194" t="s">
        <v>78</v>
      </c>
      <c r="B65" s="377" t="s">
        <v>79</v>
      </c>
      <c r="C65" s="377"/>
      <c r="D65" s="203">
        <f>D59</f>
        <v>846.67916000000002</v>
      </c>
    </row>
    <row r="66" spans="1:9" x14ac:dyDescent="0.25">
      <c r="A66" s="375" t="s">
        <v>58</v>
      </c>
      <c r="B66" s="375"/>
      <c r="C66" s="375"/>
      <c r="D66" s="204">
        <f>SUM(D63:D65)</f>
        <v>1851.9699337183999</v>
      </c>
    </row>
    <row r="67" spans="1:9" x14ac:dyDescent="0.25">
      <c r="A67" s="223"/>
      <c r="B67" s="223"/>
      <c r="C67" s="223"/>
      <c r="D67" s="224"/>
    </row>
    <row r="68" spans="1:9" x14ac:dyDescent="0.25">
      <c r="A68" s="363" t="s">
        <v>137</v>
      </c>
      <c r="B68" s="363"/>
      <c r="C68" s="363"/>
      <c r="D68" s="363"/>
    </row>
    <row r="69" spans="1:9" x14ac:dyDescent="0.25">
      <c r="A69" s="209">
        <v>3</v>
      </c>
      <c r="B69" s="202" t="s">
        <v>83</v>
      </c>
      <c r="C69" s="202" t="s">
        <v>84</v>
      </c>
      <c r="D69" s="202" t="s">
        <v>56</v>
      </c>
    </row>
    <row r="70" spans="1:9" s="106" customFormat="1" x14ac:dyDescent="0.25">
      <c r="A70" s="195" t="s">
        <v>33</v>
      </c>
      <c r="B70" s="195" t="s">
        <v>85</v>
      </c>
      <c r="C70" s="225">
        <v>4.1700000000000001E-3</v>
      </c>
      <c r="D70" s="226">
        <f>D27*C70</f>
        <v>8.0618943600000001</v>
      </c>
      <c r="E70" s="107"/>
    </row>
    <row r="71" spans="1:9" x14ac:dyDescent="0.25">
      <c r="A71" s="195" t="s">
        <v>35</v>
      </c>
      <c r="B71" s="195" t="s">
        <v>86</v>
      </c>
      <c r="C71" s="227">
        <v>3.3399999999999999E-4</v>
      </c>
      <c r="D71" s="228">
        <f>D27*C71</f>
        <v>0.64572487199999995</v>
      </c>
    </row>
    <row r="72" spans="1:9" x14ac:dyDescent="0.25">
      <c r="A72" s="229" t="s">
        <v>38</v>
      </c>
      <c r="B72" s="229" t="s">
        <v>87</v>
      </c>
      <c r="C72" s="230">
        <v>1.6000000000000001E-3</v>
      </c>
      <c r="D72" s="231">
        <f>SUM(D27+D34)*C72</f>
        <v>3.4369576300800002</v>
      </c>
    </row>
    <row r="73" spans="1:9" s="106" customFormat="1" x14ac:dyDescent="0.25">
      <c r="A73" s="195" t="s">
        <v>57</v>
      </c>
      <c r="B73" s="195" t="s">
        <v>88</v>
      </c>
      <c r="C73" s="232">
        <v>1.84E-2</v>
      </c>
      <c r="D73" s="226">
        <f>D27*C73</f>
        <v>35.572867199999997</v>
      </c>
      <c r="E73" s="107"/>
    </row>
    <row r="74" spans="1:9" x14ac:dyDescent="0.25">
      <c r="A74" s="194" t="s">
        <v>41</v>
      </c>
      <c r="B74" s="194" t="s">
        <v>89</v>
      </c>
      <c r="C74" s="233">
        <v>5.4000000000000003E-3</v>
      </c>
      <c r="D74" s="234">
        <f>D27*C74</f>
        <v>10.439863200000001</v>
      </c>
    </row>
    <row r="75" spans="1:9" x14ac:dyDescent="0.25">
      <c r="A75" s="229" t="s">
        <v>42</v>
      </c>
      <c r="B75" s="229" t="s">
        <v>90</v>
      </c>
      <c r="C75" s="230">
        <v>3.04E-2</v>
      </c>
      <c r="D75" s="231">
        <f>(D27+D34)*C75</f>
        <v>65.302194971519995</v>
      </c>
    </row>
    <row r="76" spans="1:9" x14ac:dyDescent="0.25">
      <c r="A76" s="364" t="s">
        <v>58</v>
      </c>
      <c r="B76" s="364"/>
      <c r="C76" s="364"/>
      <c r="D76" s="208">
        <f>SUM(D70:D75)</f>
        <v>123.45950223359999</v>
      </c>
    </row>
    <row r="77" spans="1:9" x14ac:dyDescent="0.25">
      <c r="A77" s="235"/>
      <c r="B77" s="235"/>
      <c r="C77" s="235"/>
      <c r="D77" s="236"/>
    </row>
    <row r="78" spans="1:9" x14ac:dyDescent="0.25">
      <c r="A78" s="365" t="s">
        <v>132</v>
      </c>
      <c r="B78" s="365"/>
      <c r="C78" s="365"/>
      <c r="D78" s="365"/>
    </row>
    <row r="79" spans="1:9" s="106" customFormat="1" x14ac:dyDescent="0.25">
      <c r="A79" s="195" t="s">
        <v>33</v>
      </c>
      <c r="B79" s="195" t="s">
        <v>133</v>
      </c>
      <c r="C79" s="209"/>
      <c r="D79" s="208">
        <f>D27</f>
        <v>1933.308</v>
      </c>
      <c r="E79" s="107"/>
    </row>
    <row r="80" spans="1:9" x14ac:dyDescent="0.25">
      <c r="A80" s="195" t="s">
        <v>35</v>
      </c>
      <c r="B80" s="195" t="s">
        <v>117</v>
      </c>
      <c r="C80" s="209"/>
      <c r="D80" s="208">
        <f>D66</f>
        <v>1851.9699337183999</v>
      </c>
      <c r="F80" s="111"/>
      <c r="G80" s="111"/>
      <c r="H80" s="122"/>
      <c r="I80" s="121"/>
    </row>
    <row r="81" spans="1:4" x14ac:dyDescent="0.25">
      <c r="A81" s="229" t="s">
        <v>38</v>
      </c>
      <c r="B81" s="229" t="s">
        <v>134</v>
      </c>
      <c r="C81" s="237">
        <f>D79/12</f>
        <v>161.10900000000001</v>
      </c>
      <c r="D81" s="237">
        <f>C81*C48+C81</f>
        <v>220.39711200000002</v>
      </c>
    </row>
    <row r="82" spans="1:4" x14ac:dyDescent="0.25">
      <c r="A82" s="195" t="s">
        <v>57</v>
      </c>
      <c r="B82" s="195" t="s">
        <v>118</v>
      </c>
      <c r="C82" s="209"/>
      <c r="D82" s="208">
        <f>D76</f>
        <v>123.45950223359999</v>
      </c>
    </row>
    <row r="83" spans="1:4" x14ac:dyDescent="0.25">
      <c r="A83" s="195" t="s">
        <v>41</v>
      </c>
      <c r="B83" s="195" t="s">
        <v>135</v>
      </c>
      <c r="C83" s="209"/>
      <c r="D83" s="238">
        <f>-(D52+D53)</f>
        <v>-470.55452000000002</v>
      </c>
    </row>
    <row r="84" spans="1:4" x14ac:dyDescent="0.25">
      <c r="A84" s="364" t="s">
        <v>136</v>
      </c>
      <c r="B84" s="364"/>
      <c r="C84" s="364"/>
      <c r="D84" s="208">
        <f>SUM(D79:D83)</f>
        <v>3658.5800279520004</v>
      </c>
    </row>
    <row r="85" spans="1:4" ht="13.5" thickBot="1" x14ac:dyDescent="0.3">
      <c r="A85" s="235"/>
      <c r="B85" s="235"/>
      <c r="C85" s="235"/>
      <c r="D85" s="235"/>
    </row>
    <row r="86" spans="1:4" ht="13.5" thickBot="1" x14ac:dyDescent="0.3">
      <c r="A86" s="366" t="s">
        <v>91</v>
      </c>
      <c r="B86" s="366"/>
      <c r="C86" s="366"/>
      <c r="D86" s="366"/>
    </row>
    <row r="87" spans="1:4" x14ac:dyDescent="0.25">
      <c r="A87" s="367" t="s">
        <v>92</v>
      </c>
      <c r="B87" s="367"/>
      <c r="C87" s="367"/>
      <c r="D87" s="367"/>
    </row>
    <row r="88" spans="1:4" x14ac:dyDescent="0.25">
      <c r="A88" s="202" t="s">
        <v>93</v>
      </c>
      <c r="B88" s="202" t="s">
        <v>94</v>
      </c>
      <c r="C88" s="202" t="s">
        <v>84</v>
      </c>
      <c r="D88" s="202" t="s">
        <v>56</v>
      </c>
    </row>
    <row r="89" spans="1:4" x14ac:dyDescent="0.25">
      <c r="A89" s="195" t="s">
        <v>33</v>
      </c>
      <c r="B89" s="194" t="s">
        <v>95</v>
      </c>
      <c r="C89" s="210">
        <v>8.3299999999999999E-2</v>
      </c>
      <c r="D89" s="206">
        <f>D84*C89</f>
        <v>304.75971632840162</v>
      </c>
    </row>
    <row r="90" spans="1:4" x14ac:dyDescent="0.25">
      <c r="A90" s="195" t="s">
        <v>35</v>
      </c>
      <c r="B90" s="194" t="s">
        <v>138</v>
      </c>
      <c r="C90" s="239">
        <v>2.2200000000000002E-3</v>
      </c>
      <c r="D90" s="206">
        <f>D84*C90</f>
        <v>8.1220476620534416</v>
      </c>
    </row>
    <row r="91" spans="1:4" x14ac:dyDescent="0.25">
      <c r="A91" s="195" t="s">
        <v>38</v>
      </c>
      <c r="B91" s="194" t="s">
        <v>96</v>
      </c>
      <c r="C91" s="239">
        <v>2.0000000000000001E-4</v>
      </c>
      <c r="D91" s="206">
        <f>D84*C91</f>
        <v>0.73171600559040006</v>
      </c>
    </row>
    <row r="92" spans="1:4" x14ac:dyDescent="0.25">
      <c r="A92" s="195" t="s">
        <v>57</v>
      </c>
      <c r="B92" s="194" t="s">
        <v>97</v>
      </c>
      <c r="C92" s="239">
        <v>2.7999999999999998E-4</v>
      </c>
      <c r="D92" s="206">
        <f>D84*C92</f>
        <v>1.0244024078265601</v>
      </c>
    </row>
    <row r="93" spans="1:4" x14ac:dyDescent="0.25">
      <c r="A93" s="195"/>
      <c r="B93" s="194" t="s">
        <v>139</v>
      </c>
      <c r="C93" s="239">
        <v>3.5999999999999999E-3</v>
      </c>
      <c r="D93" s="206">
        <f>D84*C93</f>
        <v>13.170888100627201</v>
      </c>
    </row>
    <row r="94" spans="1:4" x14ac:dyDescent="0.25">
      <c r="A94" s="195" t="s">
        <v>41</v>
      </c>
      <c r="B94" s="194" t="s">
        <v>98</v>
      </c>
      <c r="C94" s="239">
        <v>3.8999999999999999E-4</v>
      </c>
      <c r="D94" s="206">
        <f>D84*C94</f>
        <v>1.4268462109012801</v>
      </c>
    </row>
    <row r="95" spans="1:4" x14ac:dyDescent="0.25">
      <c r="A95" s="195" t="s">
        <v>42</v>
      </c>
      <c r="B95" s="194" t="s">
        <v>126</v>
      </c>
      <c r="C95" s="233"/>
      <c r="D95" s="206">
        <f>(($D$27+$D$66+$D$76)-$D$52)*C95</f>
        <v>0</v>
      </c>
    </row>
    <row r="96" spans="1:4" x14ac:dyDescent="0.25">
      <c r="A96" s="209" t="s">
        <v>58</v>
      </c>
      <c r="B96" s="209"/>
      <c r="C96" s="209"/>
      <c r="D96" s="208">
        <f>SUM(D89:D95)</f>
        <v>329.23561671540051</v>
      </c>
    </row>
    <row r="97" spans="1:4" x14ac:dyDescent="0.25">
      <c r="A97" s="368" t="s">
        <v>99</v>
      </c>
      <c r="B97" s="369"/>
      <c r="C97" s="369"/>
      <c r="D97" s="370"/>
    </row>
    <row r="98" spans="1:4" x14ac:dyDescent="0.25">
      <c r="A98" s="209" t="s">
        <v>100</v>
      </c>
      <c r="B98" s="195" t="s">
        <v>101</v>
      </c>
      <c r="C98" s="195"/>
      <c r="D98" s="202" t="s">
        <v>56</v>
      </c>
    </row>
    <row r="99" spans="1:4" x14ac:dyDescent="0.25">
      <c r="A99" s="195" t="s">
        <v>33</v>
      </c>
      <c r="B99" s="195" t="s">
        <v>102</v>
      </c>
      <c r="C99" s="195"/>
      <c r="D99" s="206">
        <v>0</v>
      </c>
    </row>
    <row r="100" spans="1:4" x14ac:dyDescent="0.25">
      <c r="A100" s="209" t="s">
        <v>58</v>
      </c>
      <c r="B100" s="209"/>
      <c r="C100" s="209"/>
      <c r="D100" s="208"/>
    </row>
    <row r="101" spans="1:4" x14ac:dyDescent="0.25">
      <c r="A101" s="212"/>
      <c r="B101" s="212"/>
      <c r="C101" s="212"/>
      <c r="D101" s="212"/>
    </row>
    <row r="102" spans="1:4" x14ac:dyDescent="0.25">
      <c r="A102" s="371" t="s">
        <v>103</v>
      </c>
      <c r="B102" s="372"/>
      <c r="C102" s="372"/>
      <c r="D102" s="373"/>
    </row>
    <row r="103" spans="1:4" x14ac:dyDescent="0.25">
      <c r="A103" s="202">
        <v>4</v>
      </c>
      <c r="B103" s="240" t="s">
        <v>104</v>
      </c>
      <c r="C103" s="241"/>
      <c r="D103" s="202" t="s">
        <v>56</v>
      </c>
    </row>
    <row r="104" spans="1:4" x14ac:dyDescent="0.25">
      <c r="A104" s="194" t="s">
        <v>93</v>
      </c>
      <c r="B104" s="242" t="s">
        <v>94</v>
      </c>
      <c r="C104" s="243"/>
      <c r="D104" s="244">
        <f>D96</f>
        <v>329.23561671540051</v>
      </c>
    </row>
    <row r="105" spans="1:4" x14ac:dyDescent="0.25">
      <c r="A105" s="194" t="s">
        <v>100</v>
      </c>
      <c r="B105" s="242" t="s">
        <v>101</v>
      </c>
      <c r="C105" s="243"/>
      <c r="D105" s="206">
        <f>D100</f>
        <v>0</v>
      </c>
    </row>
    <row r="106" spans="1:4" x14ac:dyDescent="0.25">
      <c r="A106" s="245" t="s">
        <v>58</v>
      </c>
      <c r="B106" s="246"/>
      <c r="C106" s="247"/>
      <c r="D106" s="208">
        <f>SUM(D104:D105)</f>
        <v>329.23561671540051</v>
      </c>
    </row>
    <row r="107" spans="1:4" x14ac:dyDescent="0.25">
      <c r="A107" s="201" t="s">
        <v>54</v>
      </c>
      <c r="B107" s="201"/>
      <c r="C107" s="201"/>
      <c r="D107" s="201"/>
    </row>
    <row r="108" spans="1:4" x14ac:dyDescent="0.25">
      <c r="A108" s="371" t="s">
        <v>105</v>
      </c>
      <c r="B108" s="372"/>
      <c r="C108" s="372"/>
      <c r="D108" s="373"/>
    </row>
    <row r="109" spans="1:4" x14ac:dyDescent="0.25">
      <c r="A109" s="202">
        <v>5</v>
      </c>
      <c r="B109" s="202" t="s">
        <v>106</v>
      </c>
      <c r="C109" s="202"/>
      <c r="D109" s="202" t="s">
        <v>56</v>
      </c>
    </row>
    <row r="110" spans="1:4" x14ac:dyDescent="0.25">
      <c r="A110" s="218" t="s">
        <v>33</v>
      </c>
      <c r="B110" s="248" t="s">
        <v>141</v>
      </c>
      <c r="C110" s="248"/>
      <c r="D110" s="222">
        <v>58.21</v>
      </c>
    </row>
    <row r="111" spans="1:4" x14ac:dyDescent="0.25">
      <c r="A111" s="194" t="s">
        <v>35</v>
      </c>
      <c r="B111" s="194" t="s">
        <v>164</v>
      </c>
      <c r="C111" s="202"/>
      <c r="D111" s="203">
        <v>0</v>
      </c>
    </row>
    <row r="112" spans="1:4" x14ac:dyDescent="0.25">
      <c r="A112" s="202" t="s">
        <v>58</v>
      </c>
      <c r="B112" s="202"/>
      <c r="C112" s="202"/>
      <c r="D112" s="204">
        <f>D110+D111</f>
        <v>58.21</v>
      </c>
    </row>
    <row r="113" spans="1:4" x14ac:dyDescent="0.25">
      <c r="A113" s="374"/>
      <c r="B113" s="374"/>
      <c r="C113" s="374"/>
      <c r="D113" s="374"/>
    </row>
    <row r="114" spans="1:4" x14ac:dyDescent="0.25">
      <c r="A114" s="371" t="s">
        <v>107</v>
      </c>
      <c r="B114" s="372"/>
      <c r="C114" s="372"/>
      <c r="D114" s="373"/>
    </row>
    <row r="115" spans="1:4" x14ac:dyDescent="0.25">
      <c r="A115" s="202">
        <v>6</v>
      </c>
      <c r="B115" s="202" t="s">
        <v>108</v>
      </c>
      <c r="C115" s="202" t="s">
        <v>68</v>
      </c>
      <c r="D115" s="202" t="s">
        <v>56</v>
      </c>
    </row>
    <row r="116" spans="1:4" x14ac:dyDescent="0.25">
      <c r="A116" s="194" t="s">
        <v>33</v>
      </c>
      <c r="B116" s="248" t="s">
        <v>109</v>
      </c>
      <c r="C116" s="249">
        <v>0.05</v>
      </c>
      <c r="D116" s="203">
        <f>C116*D132</f>
        <v>214.80915263337002</v>
      </c>
    </row>
    <row r="117" spans="1:4" x14ac:dyDescent="0.25">
      <c r="A117" s="194" t="s">
        <v>35</v>
      </c>
      <c r="B117" s="248" t="s">
        <v>110</v>
      </c>
      <c r="C117" s="249">
        <v>0.1</v>
      </c>
      <c r="D117" s="203">
        <f>C117*(D116+D132)</f>
        <v>451.09922053007705</v>
      </c>
    </row>
    <row r="118" spans="1:4" x14ac:dyDescent="0.25">
      <c r="A118" s="194" t="s">
        <v>38</v>
      </c>
      <c r="B118" s="248" t="s">
        <v>111</v>
      </c>
      <c r="C118" s="250">
        <v>6.1499999999999999E-2</v>
      </c>
      <c r="D118" s="203">
        <f>(D27+D66+D76+D106+D111+D116+D117)*(C119+C120+C121)/(1-(C119+C120+C121))</f>
        <v>321.35184623185631</v>
      </c>
    </row>
    <row r="119" spans="1:4" x14ac:dyDescent="0.25">
      <c r="A119" s="194"/>
      <c r="B119" s="218" t="s">
        <v>112</v>
      </c>
      <c r="C119" s="250">
        <v>6.4999999999999997E-3</v>
      </c>
      <c r="D119" s="203">
        <f>C119*D134</f>
        <v>34.342381268407571</v>
      </c>
    </row>
    <row r="120" spans="1:4" x14ac:dyDescent="0.25">
      <c r="A120" s="194"/>
      <c r="B120" s="218" t="s">
        <v>113</v>
      </c>
      <c r="C120" s="250">
        <v>0.03</v>
      </c>
      <c r="D120" s="203">
        <f>C120*D134</f>
        <v>158.5032981618811</v>
      </c>
    </row>
    <row r="121" spans="1:4" x14ac:dyDescent="0.25">
      <c r="A121" s="194"/>
      <c r="B121" s="194" t="s">
        <v>114</v>
      </c>
      <c r="C121" s="251">
        <v>2.5000000000000001E-2</v>
      </c>
      <c r="D121" s="203">
        <f>C121*D134</f>
        <v>132.08608180156759</v>
      </c>
    </row>
    <row r="122" spans="1:4" x14ac:dyDescent="0.25">
      <c r="A122" s="202" t="s">
        <v>58</v>
      </c>
      <c r="B122" s="202"/>
      <c r="C122" s="202"/>
      <c r="D122" s="204">
        <f>SUM(D116:D118)</f>
        <v>987.26021939530347</v>
      </c>
    </row>
    <row r="123" spans="1:4" x14ac:dyDescent="0.25">
      <c r="A123" s="201"/>
      <c r="B123" s="201"/>
      <c r="C123" s="201"/>
      <c r="D123" s="201"/>
    </row>
    <row r="124" spans="1:4" x14ac:dyDescent="0.25">
      <c r="A124" s="360" t="s">
        <v>115</v>
      </c>
      <c r="B124" s="361"/>
      <c r="C124" s="361"/>
      <c r="D124" s="362"/>
    </row>
    <row r="125" spans="1:4" x14ac:dyDescent="0.25">
      <c r="A125" s="201" t="s">
        <v>54</v>
      </c>
      <c r="B125" s="201"/>
      <c r="C125" s="201"/>
      <c r="D125" s="201"/>
    </row>
    <row r="126" spans="1:4" x14ac:dyDescent="0.25">
      <c r="A126" s="194"/>
      <c r="B126" s="202" t="s">
        <v>116</v>
      </c>
      <c r="C126" s="202"/>
      <c r="D126" s="202" t="s">
        <v>56</v>
      </c>
    </row>
    <row r="127" spans="1:4" x14ac:dyDescent="0.25">
      <c r="A127" s="194" t="s">
        <v>33</v>
      </c>
      <c r="B127" s="352" t="s">
        <v>53</v>
      </c>
      <c r="C127" s="353"/>
      <c r="D127" s="203">
        <f>D27</f>
        <v>1933.308</v>
      </c>
    </row>
    <row r="128" spans="1:4" x14ac:dyDescent="0.25">
      <c r="A128" s="194" t="s">
        <v>35</v>
      </c>
      <c r="B128" s="352" t="s">
        <v>117</v>
      </c>
      <c r="C128" s="353"/>
      <c r="D128" s="203">
        <f>D66</f>
        <v>1851.9699337183999</v>
      </c>
    </row>
    <row r="129" spans="1:4" x14ac:dyDescent="0.25">
      <c r="A129" s="194" t="s">
        <v>38</v>
      </c>
      <c r="B129" s="352" t="s">
        <v>118</v>
      </c>
      <c r="C129" s="353"/>
      <c r="D129" s="203">
        <f>D76</f>
        <v>123.45950223359999</v>
      </c>
    </row>
    <row r="130" spans="1:4" x14ac:dyDescent="0.25">
      <c r="A130" s="194" t="s">
        <v>57</v>
      </c>
      <c r="B130" s="352" t="s">
        <v>119</v>
      </c>
      <c r="C130" s="353"/>
      <c r="D130" s="203">
        <f>D106</f>
        <v>329.23561671540051</v>
      </c>
    </row>
    <row r="131" spans="1:4" x14ac:dyDescent="0.25">
      <c r="A131" s="194" t="s">
        <v>41</v>
      </c>
      <c r="B131" s="352" t="s">
        <v>120</v>
      </c>
      <c r="C131" s="353"/>
      <c r="D131" s="203">
        <f>D112</f>
        <v>58.21</v>
      </c>
    </row>
    <row r="132" spans="1:4" x14ac:dyDescent="0.25">
      <c r="A132" s="357" t="s">
        <v>121</v>
      </c>
      <c r="B132" s="358"/>
      <c r="C132" s="359"/>
      <c r="D132" s="204">
        <f>SUM(D127:D131)</f>
        <v>4296.1830526674003</v>
      </c>
    </row>
    <row r="133" spans="1:4" x14ac:dyDescent="0.25">
      <c r="A133" s="194" t="s">
        <v>42</v>
      </c>
      <c r="B133" s="352" t="s">
        <v>122</v>
      </c>
      <c r="C133" s="353"/>
      <c r="D133" s="203">
        <f>D122</f>
        <v>987.26021939530347</v>
      </c>
    </row>
    <row r="134" spans="1:4" x14ac:dyDescent="0.25">
      <c r="A134" s="354" t="s">
        <v>123</v>
      </c>
      <c r="B134" s="355"/>
      <c r="C134" s="356"/>
      <c r="D134" s="208">
        <f>SUM(D132+D133)</f>
        <v>5283.4432720627037</v>
      </c>
    </row>
    <row r="135" spans="1:4" x14ac:dyDescent="0.25">
      <c r="A135" s="235"/>
      <c r="B135" s="235"/>
      <c r="C135" s="235"/>
      <c r="D135" s="236"/>
    </row>
    <row r="136" spans="1:4" x14ac:dyDescent="0.25">
      <c r="A136" s="235"/>
      <c r="B136" s="235"/>
      <c r="C136" s="209" t="s">
        <v>129</v>
      </c>
      <c r="D136" s="209">
        <v>4</v>
      </c>
    </row>
    <row r="137" spans="1:4" x14ac:dyDescent="0.25">
      <c r="A137" s="201"/>
      <c r="B137" s="201"/>
      <c r="C137" s="195" t="s">
        <v>124</v>
      </c>
      <c r="D137" s="252">
        <f>D136*D134</f>
        <v>21133.773088250815</v>
      </c>
    </row>
    <row r="138" spans="1:4" x14ac:dyDescent="0.25">
      <c r="A138" s="201"/>
      <c r="B138" s="201"/>
      <c r="C138" s="209" t="s">
        <v>128</v>
      </c>
      <c r="D138" s="253">
        <v>12</v>
      </c>
    </row>
    <row r="139" spans="1:4" x14ac:dyDescent="0.25">
      <c r="A139" s="201"/>
      <c r="B139" s="201"/>
      <c r="C139" s="195" t="s">
        <v>125</v>
      </c>
      <c r="D139" s="254">
        <f>D138*D137</f>
        <v>253605.27705900976</v>
      </c>
    </row>
    <row r="141" spans="1:4" x14ac:dyDescent="0.25">
      <c r="A141" s="401"/>
      <c r="B141" s="401"/>
      <c r="C141" s="401"/>
      <c r="D141" s="401"/>
    </row>
    <row r="142" spans="1:4" x14ac:dyDescent="0.25">
      <c r="A142" s="403"/>
      <c r="B142" s="403"/>
      <c r="C142" s="403"/>
      <c r="D142" s="403"/>
    </row>
    <row r="143" spans="1:4" x14ac:dyDescent="0.25">
      <c r="A143" s="402"/>
      <c r="B143" s="402"/>
      <c r="C143" s="402"/>
      <c r="D143" s="402"/>
    </row>
    <row r="144" spans="1:4" x14ac:dyDescent="0.25">
      <c r="A144" s="402"/>
      <c r="B144" s="402"/>
      <c r="C144" s="402"/>
      <c r="D144" s="402"/>
    </row>
    <row r="145" spans="1:4" x14ac:dyDescent="0.25">
      <c r="A145" s="402"/>
      <c r="B145" s="402"/>
      <c r="C145" s="402"/>
      <c r="D145" s="402"/>
    </row>
    <row r="146" spans="1:4" x14ac:dyDescent="0.25">
      <c r="A146" s="404"/>
      <c r="B146" s="404"/>
      <c r="C146" s="404"/>
      <c r="D146" s="404"/>
    </row>
    <row r="147" spans="1:4" x14ac:dyDescent="0.25">
      <c r="A147" s="402"/>
      <c r="B147" s="402"/>
      <c r="C147" s="402"/>
      <c r="D147" s="402"/>
    </row>
    <row r="148" spans="1:4" x14ac:dyDescent="0.25">
      <c r="A148" s="402"/>
      <c r="B148" s="402"/>
      <c r="C148" s="402"/>
      <c r="D148" s="402"/>
    </row>
    <row r="149" spans="1:4" x14ac:dyDescent="0.25">
      <c r="A149" s="402"/>
      <c r="B149" s="402"/>
      <c r="C149" s="402"/>
      <c r="D149" s="402"/>
    </row>
    <row r="150" spans="1:4" x14ac:dyDescent="0.25">
      <c r="A150" s="402"/>
      <c r="B150" s="402"/>
      <c r="C150" s="402"/>
      <c r="D150" s="402"/>
    </row>
    <row r="151" spans="1:4" x14ac:dyDescent="0.25">
      <c r="A151" s="404"/>
      <c r="B151" s="404"/>
      <c r="C151" s="404"/>
      <c r="D151" s="404"/>
    </row>
    <row r="152" spans="1:4" x14ac:dyDescent="0.25">
      <c r="A152" s="402"/>
      <c r="B152" s="402"/>
      <c r="C152" s="402"/>
      <c r="D152" s="402"/>
    </row>
    <row r="153" spans="1:4" x14ac:dyDescent="0.25">
      <c r="A153" s="404"/>
      <c r="B153" s="404"/>
      <c r="C153" s="404"/>
      <c r="D153" s="404"/>
    </row>
    <row r="154" spans="1:4" x14ac:dyDescent="0.25">
      <c r="A154" s="402"/>
      <c r="B154" s="402"/>
      <c r="C154" s="402"/>
      <c r="D154" s="402"/>
    </row>
    <row r="155" spans="1:4" x14ac:dyDescent="0.25">
      <c r="A155" s="402"/>
      <c r="B155" s="402"/>
      <c r="C155" s="402"/>
      <c r="D155" s="402"/>
    </row>
    <row r="156" spans="1:4" x14ac:dyDescent="0.25">
      <c r="A156" s="404"/>
      <c r="B156" s="404"/>
      <c r="C156" s="404"/>
      <c r="D156" s="404"/>
    </row>
    <row r="157" spans="1:4" x14ac:dyDescent="0.25">
      <c r="A157" s="402"/>
      <c r="B157" s="402"/>
      <c r="C157" s="402"/>
      <c r="D157" s="402"/>
    </row>
    <row r="158" spans="1:4" x14ac:dyDescent="0.25">
      <c r="A158" s="402"/>
      <c r="B158" s="402"/>
      <c r="C158" s="402"/>
      <c r="D158" s="402"/>
    </row>
    <row r="159" spans="1:4" x14ac:dyDescent="0.25">
      <c r="A159" s="402"/>
      <c r="B159" s="402"/>
      <c r="C159" s="402"/>
      <c r="D159" s="402"/>
    </row>
    <row r="160" spans="1:4" x14ac:dyDescent="0.25">
      <c r="A160" s="403"/>
      <c r="B160" s="403"/>
      <c r="C160" s="403"/>
      <c r="D160" s="403"/>
    </row>
  </sheetData>
  <mergeCells count="82">
    <mergeCell ref="B128:C128"/>
    <mergeCell ref="B129:C129"/>
    <mergeCell ref="B130:C130"/>
    <mergeCell ref="B131:C131"/>
    <mergeCell ref="A97:D97"/>
    <mergeCell ref="A102:D102"/>
    <mergeCell ref="B65:C65"/>
    <mergeCell ref="B62:C62"/>
    <mergeCell ref="A87:D87"/>
    <mergeCell ref="A66:C66"/>
    <mergeCell ref="A68:D68"/>
    <mergeCell ref="A76:C76"/>
    <mergeCell ref="A78:D78"/>
    <mergeCell ref="A84:C84"/>
    <mergeCell ref="A86:D86"/>
    <mergeCell ref="A59:C59"/>
    <mergeCell ref="A60:D60"/>
    <mergeCell ref="A61:D61"/>
    <mergeCell ref="B63:C63"/>
    <mergeCell ref="B64:C64"/>
    <mergeCell ref="A38:D38"/>
    <mergeCell ref="A50:D50"/>
    <mergeCell ref="A35:B35"/>
    <mergeCell ref="A49:D49"/>
    <mergeCell ref="B51:C51"/>
    <mergeCell ref="B21:C21"/>
    <mergeCell ref="B24:C24"/>
    <mergeCell ref="A23:D23"/>
    <mergeCell ref="A27:C27"/>
    <mergeCell ref="A30:D30"/>
    <mergeCell ref="B12:C12"/>
    <mergeCell ref="B19:C19"/>
    <mergeCell ref="B20:C20"/>
    <mergeCell ref="A13:D13"/>
    <mergeCell ref="A14:D14"/>
    <mergeCell ref="A15:C15"/>
    <mergeCell ref="A18:D18"/>
    <mergeCell ref="B11:C11"/>
    <mergeCell ref="A6:D6"/>
    <mergeCell ref="B7:C7"/>
    <mergeCell ref="B8:C8"/>
    <mergeCell ref="B9:C9"/>
    <mergeCell ref="A1:D1"/>
    <mergeCell ref="A3:D3"/>
    <mergeCell ref="B10:C10"/>
    <mergeCell ref="A4:C4"/>
    <mergeCell ref="A2:D2"/>
    <mergeCell ref="A142:D142"/>
    <mergeCell ref="A143:D143"/>
    <mergeCell ref="A144:D144"/>
    <mergeCell ref="A145:D145"/>
    <mergeCell ref="A146:D146"/>
    <mergeCell ref="A147:D147"/>
    <mergeCell ref="A148:D148"/>
    <mergeCell ref="A149:D149"/>
    <mergeCell ref="A150:D150"/>
    <mergeCell ref="A151:D151"/>
    <mergeCell ref="A157:D157"/>
    <mergeCell ref="A158:D158"/>
    <mergeCell ref="A159:D159"/>
    <mergeCell ref="A160:D160"/>
    <mergeCell ref="A152:D152"/>
    <mergeCell ref="A153:D153"/>
    <mergeCell ref="A154:D154"/>
    <mergeCell ref="A155:D155"/>
    <mergeCell ref="A156:D156"/>
    <mergeCell ref="B133:C133"/>
    <mergeCell ref="A134:C134"/>
    <mergeCell ref="A141:D141"/>
    <mergeCell ref="A16:C16"/>
    <mergeCell ref="A17:D17"/>
    <mergeCell ref="A113:D113"/>
    <mergeCell ref="A108:D108"/>
    <mergeCell ref="A114:D114"/>
    <mergeCell ref="A124:D124"/>
    <mergeCell ref="B127:C127"/>
    <mergeCell ref="A132:C132"/>
    <mergeCell ref="A29:D29"/>
    <mergeCell ref="B31:C31"/>
    <mergeCell ref="A34:B34"/>
    <mergeCell ref="A36:C36"/>
    <mergeCell ref="A37:D37"/>
  </mergeCells>
  <printOptions horizontalCentered="1"/>
  <pageMargins left="0.19685039370078741" right="0.19685039370078741" top="0.59055118110236227" bottom="0.59055118110236227" header="0.19685039370078741" footer="0.19685039370078741"/>
  <pageSetup paperSize="9"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91B7-B224-40AC-843B-47AB6B2E0E52}">
  <dimension ref="A1:I162"/>
  <sheetViews>
    <sheetView workbookViewId="0">
      <selection activeCell="A2" sqref="A2:D2"/>
    </sheetView>
  </sheetViews>
  <sheetFormatPr defaultRowHeight="12.75" x14ac:dyDescent="0.25"/>
  <cols>
    <col min="1" max="1" width="5" style="148" bestFit="1" customWidth="1"/>
    <col min="2" max="2" width="53.42578125" style="148" customWidth="1"/>
    <col min="3" max="3" width="15.5703125" style="148" customWidth="1"/>
    <col min="4" max="4" width="19.5703125" style="148" customWidth="1"/>
    <col min="5" max="5" width="75.28515625" style="62" customWidth="1"/>
    <col min="6" max="6" width="75.28515625" style="148" customWidth="1"/>
    <col min="7" max="16384" width="9.140625" style="148"/>
  </cols>
  <sheetData>
    <row r="1" spans="1:4" x14ac:dyDescent="0.25">
      <c r="A1" s="314" t="s">
        <v>296</v>
      </c>
      <c r="B1" s="314"/>
      <c r="C1" s="314"/>
      <c r="D1" s="314"/>
    </row>
    <row r="2" spans="1:4" x14ac:dyDescent="0.25">
      <c r="A2" s="315"/>
      <c r="B2" s="314"/>
      <c r="C2" s="314"/>
      <c r="D2" s="316"/>
    </row>
    <row r="3" spans="1:4" ht="13.5" thickBot="1" x14ac:dyDescent="0.3">
      <c r="A3" s="317" t="s">
        <v>30</v>
      </c>
      <c r="B3" s="317"/>
      <c r="C3" s="317"/>
      <c r="D3" s="317"/>
    </row>
    <row r="4" spans="1:4" x14ac:dyDescent="0.25">
      <c r="A4" s="318" t="s">
        <v>31</v>
      </c>
      <c r="B4" s="319"/>
      <c r="C4" s="319"/>
      <c r="D4" s="105"/>
    </row>
    <row r="5" spans="1:4" x14ac:dyDescent="0.25">
      <c r="A5" s="106"/>
      <c r="B5" s="107"/>
      <c r="C5" s="107"/>
      <c r="D5" s="107"/>
    </row>
    <row r="6" spans="1:4" ht="13.5" thickBot="1" x14ac:dyDescent="0.3">
      <c r="A6" s="320" t="s">
        <v>32</v>
      </c>
      <c r="B6" s="320"/>
      <c r="C6" s="320"/>
      <c r="D6" s="320"/>
    </row>
    <row r="7" spans="1:4" x14ac:dyDescent="0.25">
      <c r="A7" s="108" t="s">
        <v>33</v>
      </c>
      <c r="B7" s="328" t="s">
        <v>34</v>
      </c>
      <c r="C7" s="328"/>
      <c r="D7" s="109"/>
    </row>
    <row r="8" spans="1:4" x14ac:dyDescent="0.25">
      <c r="A8" s="110" t="s">
        <v>35</v>
      </c>
      <c r="B8" s="329" t="s">
        <v>36</v>
      </c>
      <c r="C8" s="329"/>
      <c r="D8" s="111" t="s">
        <v>37</v>
      </c>
    </row>
    <row r="9" spans="1:4" x14ac:dyDescent="0.25">
      <c r="A9" s="112" t="s">
        <v>38</v>
      </c>
      <c r="B9" s="277" t="s">
        <v>39</v>
      </c>
      <c r="C9" s="277"/>
      <c r="D9" s="184" t="s">
        <v>247</v>
      </c>
    </row>
    <row r="10" spans="1:4" x14ac:dyDescent="0.25">
      <c r="A10" s="112" t="s">
        <v>57</v>
      </c>
      <c r="B10" s="273" t="s">
        <v>197</v>
      </c>
      <c r="C10" s="275"/>
      <c r="D10" s="111" t="s">
        <v>149</v>
      </c>
    </row>
    <row r="11" spans="1:4" x14ac:dyDescent="0.25">
      <c r="A11" s="112" t="s">
        <v>41</v>
      </c>
      <c r="B11" s="277" t="s">
        <v>40</v>
      </c>
      <c r="C11" s="277"/>
      <c r="D11" s="169">
        <v>45679</v>
      </c>
    </row>
    <row r="12" spans="1:4" x14ac:dyDescent="0.25">
      <c r="A12" s="112" t="s">
        <v>42</v>
      </c>
      <c r="B12" s="277" t="s">
        <v>45</v>
      </c>
      <c r="C12" s="277"/>
      <c r="D12" s="111" t="s">
        <v>46</v>
      </c>
    </row>
    <row r="13" spans="1:4" x14ac:dyDescent="0.25">
      <c r="A13" s="277"/>
      <c r="B13" s="277"/>
      <c r="C13" s="277"/>
      <c r="D13" s="277"/>
    </row>
    <row r="14" spans="1:4" ht="13.5" thickBot="1" x14ac:dyDescent="0.3">
      <c r="A14" s="276" t="s">
        <v>47</v>
      </c>
      <c r="B14" s="276"/>
      <c r="C14" s="276"/>
      <c r="D14" s="276"/>
    </row>
    <row r="15" spans="1:4" ht="25.5" x14ac:dyDescent="0.25">
      <c r="A15" s="277" t="s">
        <v>48</v>
      </c>
      <c r="B15" s="277"/>
      <c r="C15" s="277"/>
      <c r="D15" s="112" t="s">
        <v>127</v>
      </c>
    </row>
    <row r="16" spans="1:4" x14ac:dyDescent="0.25">
      <c r="A16" s="277" t="s">
        <v>150</v>
      </c>
      <c r="B16" s="277"/>
      <c r="C16" s="277"/>
      <c r="D16" s="111" t="s">
        <v>217</v>
      </c>
    </row>
    <row r="17" spans="1:5" x14ac:dyDescent="0.25">
      <c r="A17" s="274"/>
      <c r="B17" s="274"/>
      <c r="C17" s="274"/>
      <c r="D17" s="275"/>
    </row>
    <row r="18" spans="1:5" ht="13.5" thickBot="1" x14ac:dyDescent="0.3">
      <c r="A18" s="276" t="s">
        <v>49</v>
      </c>
      <c r="B18" s="276"/>
      <c r="C18" s="276"/>
      <c r="D18" s="276"/>
    </row>
    <row r="19" spans="1:5" ht="17.25" customHeight="1" x14ac:dyDescent="0.25">
      <c r="A19" s="110"/>
      <c r="B19" s="278" t="s">
        <v>50</v>
      </c>
      <c r="C19" s="279"/>
      <c r="D19" s="113">
        <v>1611.09</v>
      </c>
    </row>
    <row r="20" spans="1:5" ht="24.75" customHeight="1" x14ac:dyDescent="0.25">
      <c r="A20" s="112"/>
      <c r="B20" s="277" t="s">
        <v>51</v>
      </c>
      <c r="C20" s="277"/>
      <c r="D20" s="112" t="s">
        <v>312</v>
      </c>
    </row>
    <row r="21" spans="1:5" x14ac:dyDescent="0.25">
      <c r="A21" s="112"/>
      <c r="B21" s="277" t="s">
        <v>52</v>
      </c>
      <c r="C21" s="277"/>
      <c r="D21" s="113">
        <v>1518</v>
      </c>
    </row>
    <row r="22" spans="1:5" ht="13.5" thickBot="1" x14ac:dyDescent="0.3">
      <c r="A22" s="62"/>
      <c r="B22" s="62"/>
      <c r="C22" s="62"/>
      <c r="D22" s="62"/>
    </row>
    <row r="23" spans="1:5" ht="13.5" thickBot="1" x14ac:dyDescent="0.3">
      <c r="A23" s="280" t="s">
        <v>53</v>
      </c>
      <c r="B23" s="280"/>
      <c r="C23" s="280"/>
      <c r="D23" s="280"/>
      <c r="E23" s="172"/>
    </row>
    <row r="24" spans="1:5" x14ac:dyDescent="0.25">
      <c r="A24" s="114">
        <v>1</v>
      </c>
      <c r="B24" s="284" t="s">
        <v>55</v>
      </c>
      <c r="C24" s="284"/>
      <c r="D24" s="114" t="s">
        <v>56</v>
      </c>
    </row>
    <row r="25" spans="1:5" x14ac:dyDescent="0.25">
      <c r="A25" s="110" t="s">
        <v>33</v>
      </c>
      <c r="B25" s="110" t="s">
        <v>191</v>
      </c>
      <c r="C25" s="110"/>
      <c r="D25" s="116">
        <f>D19</f>
        <v>1611.09</v>
      </c>
    </row>
    <row r="26" spans="1:5" x14ac:dyDescent="0.25">
      <c r="A26" s="110" t="s">
        <v>35</v>
      </c>
      <c r="B26" s="110" t="s">
        <v>151</v>
      </c>
      <c r="C26" s="110"/>
      <c r="D26" s="116">
        <f>D25*0.2</f>
        <v>322.21800000000002</v>
      </c>
      <c r="E26" s="170"/>
    </row>
    <row r="27" spans="1:5" x14ac:dyDescent="0.25">
      <c r="A27" s="110" t="s">
        <v>38</v>
      </c>
      <c r="B27" s="110" t="s">
        <v>229</v>
      </c>
      <c r="C27" s="116">
        <f>D25+D26</f>
        <v>1933.308</v>
      </c>
      <c r="D27" s="116">
        <f>C28*9/12</f>
        <v>289.99619999999999</v>
      </c>
      <c r="E27" s="170"/>
    </row>
    <row r="28" spans="1:5" x14ac:dyDescent="0.25">
      <c r="A28" s="110" t="s">
        <v>57</v>
      </c>
      <c r="B28" s="110" t="s">
        <v>209</v>
      </c>
      <c r="C28" s="116">
        <f>C27*20%</f>
        <v>386.66160000000002</v>
      </c>
      <c r="D28" s="116">
        <f>C27*1.2/12</f>
        <v>193.33079999999998</v>
      </c>
      <c r="E28" s="170"/>
    </row>
    <row r="29" spans="1:5" x14ac:dyDescent="0.25">
      <c r="A29" s="284" t="s">
        <v>58</v>
      </c>
      <c r="B29" s="284"/>
      <c r="C29" s="284"/>
      <c r="D29" s="117">
        <f>SUM(D25:D28)</f>
        <v>2416.6350000000002</v>
      </c>
    </row>
    <row r="30" spans="1:5" ht="13.5" thickBot="1" x14ac:dyDescent="0.3">
      <c r="A30" s="62" t="s">
        <v>54</v>
      </c>
      <c r="B30" s="62"/>
      <c r="C30" s="62"/>
      <c r="D30" s="62"/>
    </row>
    <row r="31" spans="1:5" ht="13.5" thickBot="1" x14ac:dyDescent="0.3">
      <c r="A31" s="280" t="s">
        <v>59</v>
      </c>
      <c r="B31" s="280"/>
      <c r="C31" s="280"/>
      <c r="D31" s="280"/>
    </row>
    <row r="32" spans="1:5" x14ac:dyDescent="0.25">
      <c r="A32" s="312" t="s">
        <v>60</v>
      </c>
      <c r="B32" s="312"/>
      <c r="C32" s="312"/>
      <c r="D32" s="312"/>
    </row>
    <row r="33" spans="1:4" x14ac:dyDescent="0.25">
      <c r="A33" s="114" t="s">
        <v>61</v>
      </c>
      <c r="B33" s="284" t="s">
        <v>62</v>
      </c>
      <c r="C33" s="284"/>
      <c r="D33" s="114" t="s">
        <v>56</v>
      </c>
    </row>
    <row r="34" spans="1:4" x14ac:dyDescent="0.25">
      <c r="A34" s="111" t="s">
        <v>33</v>
      </c>
      <c r="B34" s="111" t="s">
        <v>63</v>
      </c>
      <c r="C34" s="118">
        <v>8.3299999999999999E-2</v>
      </c>
      <c r="D34" s="119">
        <f>C34*D29</f>
        <v>201.30569550000001</v>
      </c>
    </row>
    <row r="35" spans="1:4" x14ac:dyDescent="0.25">
      <c r="A35" s="111" t="s">
        <v>35</v>
      </c>
      <c r="B35" s="111" t="s">
        <v>64</v>
      </c>
      <c r="C35" s="118">
        <v>2.7799999999999998E-2</v>
      </c>
      <c r="D35" s="119">
        <f>SUM(D29*C35)</f>
        <v>67.182452999999995</v>
      </c>
    </row>
    <row r="36" spans="1:4" x14ac:dyDescent="0.25">
      <c r="A36" s="305" t="s">
        <v>131</v>
      </c>
      <c r="B36" s="306"/>
      <c r="C36" s="120">
        <f>SUM(C34+C35)</f>
        <v>0.1111</v>
      </c>
      <c r="D36" s="121">
        <f>SUM(D34:D35)</f>
        <v>268.48814850000002</v>
      </c>
    </row>
    <row r="37" spans="1:4" x14ac:dyDescent="0.25">
      <c r="A37" s="313" t="s">
        <v>130</v>
      </c>
      <c r="B37" s="293"/>
      <c r="C37" s="123">
        <f>SUM(C42:C49)</f>
        <v>0.36800000000000005</v>
      </c>
      <c r="D37" s="119">
        <f>SUM(D36*C37)</f>
        <v>98.803638648000017</v>
      </c>
    </row>
    <row r="38" spans="1:4" x14ac:dyDescent="0.25">
      <c r="A38" s="307" t="s">
        <v>58</v>
      </c>
      <c r="B38" s="308"/>
      <c r="C38" s="309"/>
      <c r="D38" s="124">
        <f>SUM(D36+D37)</f>
        <v>367.29178714800003</v>
      </c>
    </row>
    <row r="39" spans="1:4" x14ac:dyDescent="0.25">
      <c r="A39" s="304"/>
      <c r="B39" s="304"/>
      <c r="C39" s="304"/>
      <c r="D39" s="304"/>
    </row>
    <row r="40" spans="1:4" x14ac:dyDescent="0.25">
      <c r="A40" s="296" t="s">
        <v>65</v>
      </c>
      <c r="B40" s="296"/>
      <c r="C40" s="296"/>
      <c r="D40" s="296"/>
    </row>
    <row r="41" spans="1:4" x14ac:dyDescent="0.25">
      <c r="A41" s="126" t="s">
        <v>66</v>
      </c>
      <c r="B41" s="126" t="s">
        <v>67</v>
      </c>
      <c r="C41" s="126" t="s">
        <v>68</v>
      </c>
      <c r="D41" s="126" t="s">
        <v>56</v>
      </c>
    </row>
    <row r="42" spans="1:4" x14ac:dyDescent="0.25">
      <c r="A42" s="127" t="s">
        <v>33</v>
      </c>
      <c r="B42" s="127" t="s">
        <v>69</v>
      </c>
      <c r="C42" s="123">
        <v>0.2</v>
      </c>
      <c r="D42" s="116">
        <f>D29*C42</f>
        <v>483.32700000000006</v>
      </c>
    </row>
    <row r="43" spans="1:4" x14ac:dyDescent="0.25">
      <c r="A43" s="127" t="s">
        <v>35</v>
      </c>
      <c r="B43" s="127" t="s">
        <v>70</v>
      </c>
      <c r="C43" s="123">
        <v>2.5000000000000001E-2</v>
      </c>
      <c r="D43" s="116">
        <f>D29*C43</f>
        <v>60.415875000000007</v>
      </c>
    </row>
    <row r="44" spans="1:4" x14ac:dyDescent="0.25">
      <c r="A44" s="127" t="s">
        <v>38</v>
      </c>
      <c r="B44" s="128" t="s">
        <v>71</v>
      </c>
      <c r="C44" s="129">
        <v>0.03</v>
      </c>
      <c r="D44" s="116">
        <f>D29*C44</f>
        <v>72.499049999999997</v>
      </c>
    </row>
    <row r="45" spans="1:4" x14ac:dyDescent="0.25">
      <c r="A45" s="127" t="s">
        <v>57</v>
      </c>
      <c r="B45" s="127" t="s">
        <v>72</v>
      </c>
      <c r="C45" s="123">
        <v>1.4999999999999999E-2</v>
      </c>
      <c r="D45" s="116">
        <f>D29*C45</f>
        <v>36.249524999999998</v>
      </c>
    </row>
    <row r="46" spans="1:4" x14ac:dyDescent="0.25">
      <c r="A46" s="127" t="s">
        <v>41</v>
      </c>
      <c r="B46" s="127" t="s">
        <v>73</v>
      </c>
      <c r="C46" s="123">
        <v>0.01</v>
      </c>
      <c r="D46" s="116">
        <f>D29*C46</f>
        <v>24.166350000000001</v>
      </c>
    </row>
    <row r="47" spans="1:4" x14ac:dyDescent="0.25">
      <c r="A47" s="127" t="s">
        <v>42</v>
      </c>
      <c r="B47" s="127" t="s">
        <v>74</v>
      </c>
      <c r="C47" s="123">
        <v>6.0000000000000001E-3</v>
      </c>
      <c r="D47" s="116">
        <f>D29*C47</f>
        <v>14.499810000000002</v>
      </c>
    </row>
    <row r="48" spans="1:4" x14ac:dyDescent="0.25">
      <c r="A48" s="127" t="s">
        <v>43</v>
      </c>
      <c r="B48" s="127" t="s">
        <v>75</v>
      </c>
      <c r="C48" s="123">
        <v>2E-3</v>
      </c>
      <c r="D48" s="116">
        <f>D29*C48</f>
        <v>4.8332700000000006</v>
      </c>
    </row>
    <row r="49" spans="1:4" x14ac:dyDescent="0.25">
      <c r="A49" s="127" t="s">
        <v>44</v>
      </c>
      <c r="B49" s="127" t="s">
        <v>76</v>
      </c>
      <c r="C49" s="123">
        <v>0.08</v>
      </c>
      <c r="D49" s="116">
        <f>D29*C49</f>
        <v>193.33080000000001</v>
      </c>
    </row>
    <row r="50" spans="1:4" x14ac:dyDescent="0.25">
      <c r="A50" s="127"/>
      <c r="B50" s="126" t="s">
        <v>58</v>
      </c>
      <c r="C50" s="123">
        <f>SUM(C42:C49)</f>
        <v>0.36800000000000005</v>
      </c>
      <c r="D50" s="117">
        <f>SUM(D42:D49)</f>
        <v>889.32168000000001</v>
      </c>
    </row>
    <row r="51" spans="1:4" x14ac:dyDescent="0.25">
      <c r="A51" s="304"/>
      <c r="B51" s="304"/>
      <c r="C51" s="304"/>
      <c r="D51" s="304"/>
    </row>
    <row r="52" spans="1:4" x14ac:dyDescent="0.25">
      <c r="A52" s="296" t="s">
        <v>77</v>
      </c>
      <c r="B52" s="296"/>
      <c r="C52" s="296"/>
      <c r="D52" s="296"/>
    </row>
    <row r="53" spans="1:4" x14ac:dyDescent="0.25">
      <c r="A53" s="114" t="s">
        <v>78</v>
      </c>
      <c r="B53" s="284" t="s">
        <v>79</v>
      </c>
      <c r="C53" s="284"/>
      <c r="D53" s="114" t="s">
        <v>56</v>
      </c>
    </row>
    <row r="54" spans="1:4" x14ac:dyDescent="0.25">
      <c r="A54" s="110" t="s">
        <v>33</v>
      </c>
      <c r="B54" s="110" t="s">
        <v>140</v>
      </c>
      <c r="C54" s="130">
        <v>5.15</v>
      </c>
      <c r="D54" s="119">
        <f>(2*5.15*15.2) - (D25*6%)</f>
        <v>59.894600000000011</v>
      </c>
    </row>
    <row r="55" spans="1:4" x14ac:dyDescent="0.25">
      <c r="A55" s="110" t="s">
        <v>35</v>
      </c>
      <c r="B55" s="132" t="s">
        <v>146</v>
      </c>
      <c r="C55" s="133">
        <v>27.29</v>
      </c>
      <c r="D55" s="134">
        <f>27.29*15.2*99%</f>
        <v>410.65992</v>
      </c>
    </row>
    <row r="56" spans="1:4" x14ac:dyDescent="0.25">
      <c r="A56" s="110" t="s">
        <v>38</v>
      </c>
      <c r="B56" s="110" t="s">
        <v>142</v>
      </c>
      <c r="C56" s="130"/>
      <c r="D56" s="119">
        <v>11</v>
      </c>
    </row>
    <row r="57" spans="1:4" x14ac:dyDescent="0.25">
      <c r="A57" s="110" t="s">
        <v>57</v>
      </c>
      <c r="B57" s="110" t="s">
        <v>147</v>
      </c>
      <c r="C57" s="135"/>
      <c r="D57" s="136">
        <f>SUM(D29*7%)</f>
        <v>169.16445000000004</v>
      </c>
    </row>
    <row r="58" spans="1:4" x14ac:dyDescent="0.25">
      <c r="A58" s="110" t="s">
        <v>41</v>
      </c>
      <c r="B58" s="110" t="s">
        <v>144</v>
      </c>
      <c r="C58" s="135"/>
      <c r="D58" s="136">
        <v>200</v>
      </c>
    </row>
    <row r="59" spans="1:4" x14ac:dyDescent="0.25">
      <c r="A59" s="110" t="s">
        <v>42</v>
      </c>
      <c r="B59" s="110" t="s">
        <v>143</v>
      </c>
      <c r="C59" s="135"/>
      <c r="D59" s="136">
        <v>10.46</v>
      </c>
    </row>
    <row r="60" spans="1:4" x14ac:dyDescent="0.25">
      <c r="A60" s="110" t="s">
        <v>43</v>
      </c>
      <c r="B60" s="110" t="s">
        <v>145</v>
      </c>
      <c r="C60" s="135">
        <v>0.01</v>
      </c>
      <c r="D60" s="136">
        <f>(D25+D26)*1/100</f>
        <v>19.333079999999999</v>
      </c>
    </row>
    <row r="61" spans="1:4" x14ac:dyDescent="0.25">
      <c r="A61" s="284" t="s">
        <v>58</v>
      </c>
      <c r="B61" s="284"/>
      <c r="C61" s="284"/>
      <c r="D61" s="121">
        <f>SUM(D54:D60)</f>
        <v>880.51205000000016</v>
      </c>
    </row>
    <row r="62" spans="1:4" x14ac:dyDescent="0.25">
      <c r="A62" s="304"/>
      <c r="B62" s="304"/>
      <c r="C62" s="304"/>
      <c r="D62" s="304"/>
    </row>
    <row r="63" spans="1:4" x14ac:dyDescent="0.25">
      <c r="A63" s="296" t="s">
        <v>80</v>
      </c>
      <c r="B63" s="296"/>
      <c r="C63" s="296"/>
      <c r="D63" s="296"/>
    </row>
    <row r="64" spans="1:4" x14ac:dyDescent="0.25">
      <c r="A64" s="114">
        <v>2</v>
      </c>
      <c r="B64" s="284" t="s">
        <v>81</v>
      </c>
      <c r="C64" s="284"/>
      <c r="D64" s="114" t="s">
        <v>56</v>
      </c>
    </row>
    <row r="65" spans="1:5" x14ac:dyDescent="0.25">
      <c r="A65" s="110" t="s">
        <v>61</v>
      </c>
      <c r="B65" s="297" t="s">
        <v>82</v>
      </c>
      <c r="C65" s="297"/>
      <c r="D65" s="116">
        <f>D38</f>
        <v>367.29178714800003</v>
      </c>
    </row>
    <row r="66" spans="1:5" x14ac:dyDescent="0.25">
      <c r="A66" s="110" t="s">
        <v>66</v>
      </c>
      <c r="B66" s="297" t="s">
        <v>67</v>
      </c>
      <c r="C66" s="297"/>
      <c r="D66" s="116">
        <f>D50</f>
        <v>889.32168000000001</v>
      </c>
    </row>
    <row r="67" spans="1:5" x14ac:dyDescent="0.25">
      <c r="A67" s="110" t="s">
        <v>78</v>
      </c>
      <c r="B67" s="297" t="s">
        <v>79</v>
      </c>
      <c r="C67" s="297"/>
      <c r="D67" s="116">
        <f>D61</f>
        <v>880.51205000000016</v>
      </c>
    </row>
    <row r="68" spans="1:5" x14ac:dyDescent="0.25">
      <c r="A68" s="284" t="s">
        <v>58</v>
      </c>
      <c r="B68" s="284"/>
      <c r="C68" s="284"/>
      <c r="D68" s="117">
        <f>SUM(D65:D67)</f>
        <v>2137.1255171480002</v>
      </c>
    </row>
    <row r="69" spans="1:5" x14ac:dyDescent="0.25">
      <c r="A69" s="137"/>
      <c r="B69" s="137"/>
      <c r="C69" s="137"/>
      <c r="D69" s="138"/>
    </row>
    <row r="70" spans="1:5" x14ac:dyDescent="0.25">
      <c r="A70" s="294" t="s">
        <v>137</v>
      </c>
      <c r="B70" s="294"/>
      <c r="C70" s="294"/>
      <c r="D70" s="294"/>
    </row>
    <row r="71" spans="1:5" x14ac:dyDescent="0.25">
      <c r="A71" s="122">
        <v>3</v>
      </c>
      <c r="B71" s="114" t="s">
        <v>83</v>
      </c>
      <c r="C71" s="114" t="s">
        <v>84</v>
      </c>
      <c r="D71" s="114" t="s">
        <v>56</v>
      </c>
    </row>
    <row r="72" spans="1:5" s="106" customFormat="1" x14ac:dyDescent="0.25">
      <c r="A72" s="111" t="s">
        <v>33</v>
      </c>
      <c r="B72" s="111" t="s">
        <v>85</v>
      </c>
      <c r="C72" s="139">
        <v>4.1700000000000001E-3</v>
      </c>
      <c r="D72" s="140">
        <f>D29*C72</f>
        <v>10.077367950000001</v>
      </c>
      <c r="E72" s="107"/>
    </row>
    <row r="73" spans="1:5" x14ac:dyDescent="0.25">
      <c r="A73" s="111" t="s">
        <v>35</v>
      </c>
      <c r="B73" s="111" t="s">
        <v>86</v>
      </c>
      <c r="C73" s="141">
        <v>3.3399999999999999E-4</v>
      </c>
      <c r="D73" s="142">
        <f>D29*C73</f>
        <v>0.80715608999999999</v>
      </c>
    </row>
    <row r="74" spans="1:5" x14ac:dyDescent="0.25">
      <c r="A74" s="63" t="s">
        <v>38</v>
      </c>
      <c r="B74" s="63" t="s">
        <v>87</v>
      </c>
      <c r="C74" s="143">
        <v>1.6000000000000001E-3</v>
      </c>
      <c r="D74" s="144">
        <f>SUM(D29+D36)*C74</f>
        <v>4.2961970376000007</v>
      </c>
    </row>
    <row r="75" spans="1:5" s="106" customFormat="1" x14ac:dyDescent="0.25">
      <c r="A75" s="111" t="s">
        <v>57</v>
      </c>
      <c r="B75" s="111" t="s">
        <v>88</v>
      </c>
      <c r="C75" s="145">
        <v>1.84E-2</v>
      </c>
      <c r="D75" s="140">
        <f>D29*C75</f>
        <v>44.466084000000002</v>
      </c>
      <c r="E75" s="107"/>
    </row>
    <row r="76" spans="1:5" ht="25.5" x14ac:dyDescent="0.25">
      <c r="A76" s="110" t="s">
        <v>41</v>
      </c>
      <c r="B76" s="110" t="s">
        <v>89</v>
      </c>
      <c r="C76" s="146">
        <v>5.4000000000000003E-3</v>
      </c>
      <c r="D76" s="147">
        <f>D29*C76</f>
        <v>13.049829000000003</v>
      </c>
    </row>
    <row r="77" spans="1:5" x14ac:dyDescent="0.25">
      <c r="A77" s="63" t="s">
        <v>42</v>
      </c>
      <c r="B77" s="63" t="s">
        <v>90</v>
      </c>
      <c r="C77" s="143">
        <v>3.04E-2</v>
      </c>
      <c r="D77" s="144">
        <f>(D29+D36)*C77</f>
        <v>81.627743714400012</v>
      </c>
    </row>
    <row r="78" spans="1:5" x14ac:dyDescent="0.25">
      <c r="A78" s="293" t="s">
        <v>58</v>
      </c>
      <c r="B78" s="293"/>
      <c r="C78" s="293"/>
      <c r="D78" s="121">
        <f>SUM(D72:D77)</f>
        <v>154.32437779200001</v>
      </c>
    </row>
    <row r="79" spans="1:5" x14ac:dyDescent="0.25">
      <c r="D79" s="149"/>
    </row>
    <row r="80" spans="1:5" x14ac:dyDescent="0.25">
      <c r="A80" s="295" t="s">
        <v>132</v>
      </c>
      <c r="B80" s="295"/>
      <c r="C80" s="295"/>
      <c r="D80" s="295"/>
    </row>
    <row r="81" spans="1:9" s="106" customFormat="1" x14ac:dyDescent="0.25">
      <c r="A81" s="111" t="s">
        <v>33</v>
      </c>
      <c r="B81" s="111" t="s">
        <v>133</v>
      </c>
      <c r="C81" s="122"/>
      <c r="D81" s="121">
        <f>D29</f>
        <v>2416.6350000000002</v>
      </c>
      <c r="E81" s="107"/>
    </row>
    <row r="82" spans="1:9" x14ac:dyDescent="0.25">
      <c r="A82" s="111" t="s">
        <v>35</v>
      </c>
      <c r="B82" s="111" t="s">
        <v>117</v>
      </c>
      <c r="C82" s="122"/>
      <c r="D82" s="121">
        <f>D68</f>
        <v>2137.1255171480002</v>
      </c>
      <c r="F82" s="111"/>
      <c r="G82" s="111"/>
      <c r="H82" s="122"/>
      <c r="I82" s="121"/>
    </row>
    <row r="83" spans="1:9" x14ac:dyDescent="0.25">
      <c r="A83" s="63" t="s">
        <v>38</v>
      </c>
      <c r="B83" s="63" t="s">
        <v>134</v>
      </c>
      <c r="C83" s="150">
        <f>D81/12</f>
        <v>201.38625000000002</v>
      </c>
      <c r="D83" s="150">
        <f>C83*C50+C83</f>
        <v>275.49639000000002</v>
      </c>
    </row>
    <row r="84" spans="1:9" x14ac:dyDescent="0.25">
      <c r="A84" s="111" t="s">
        <v>57</v>
      </c>
      <c r="B84" s="111" t="s">
        <v>118</v>
      </c>
      <c r="C84" s="122"/>
      <c r="D84" s="121">
        <f>D78</f>
        <v>154.32437779200001</v>
      </c>
    </row>
    <row r="85" spans="1:9" x14ac:dyDescent="0.25">
      <c r="A85" s="111" t="s">
        <v>41</v>
      </c>
      <c r="B85" s="111" t="s">
        <v>135</v>
      </c>
      <c r="C85" s="122"/>
      <c r="D85" s="168">
        <f>-(D54+D55)</f>
        <v>-470.55452000000002</v>
      </c>
    </row>
    <row r="86" spans="1:9" x14ac:dyDescent="0.25">
      <c r="A86" s="293" t="s">
        <v>136</v>
      </c>
      <c r="B86" s="293"/>
      <c r="C86" s="293"/>
      <c r="D86" s="121">
        <f>SUM(D81:D85)</f>
        <v>4513.0267649400012</v>
      </c>
    </row>
    <row r="87" spans="1:9" ht="13.5" thickBot="1" x14ac:dyDescent="0.3"/>
    <row r="88" spans="1:9" ht="13.5" thickBot="1" x14ac:dyDescent="0.3">
      <c r="A88" s="280" t="s">
        <v>91</v>
      </c>
      <c r="B88" s="280"/>
      <c r="C88" s="280"/>
      <c r="D88" s="280"/>
    </row>
    <row r="89" spans="1:9" x14ac:dyDescent="0.25">
      <c r="A89" s="296" t="s">
        <v>92</v>
      </c>
      <c r="B89" s="296"/>
      <c r="C89" s="296"/>
      <c r="D89" s="296"/>
    </row>
    <row r="90" spans="1:9" x14ac:dyDescent="0.25">
      <c r="A90" s="114" t="s">
        <v>93</v>
      </c>
      <c r="B90" s="114" t="s">
        <v>94</v>
      </c>
      <c r="C90" s="114" t="s">
        <v>84</v>
      </c>
      <c r="D90" s="114" t="s">
        <v>56</v>
      </c>
    </row>
    <row r="91" spans="1:9" x14ac:dyDescent="0.25">
      <c r="A91" s="111" t="s">
        <v>33</v>
      </c>
      <c r="B91" s="110" t="s">
        <v>95</v>
      </c>
      <c r="C91" s="123">
        <v>8.3299999999999999E-2</v>
      </c>
      <c r="D91" s="119">
        <f>D86*C91</f>
        <v>375.93512951950208</v>
      </c>
    </row>
    <row r="92" spans="1:9" x14ac:dyDescent="0.25">
      <c r="A92" s="111" t="s">
        <v>35</v>
      </c>
      <c r="B92" s="110" t="s">
        <v>138</v>
      </c>
      <c r="C92" s="151">
        <v>2.2200000000000002E-3</v>
      </c>
      <c r="D92" s="119">
        <f>D86*C92</f>
        <v>10.018919418166803</v>
      </c>
    </row>
    <row r="93" spans="1:9" x14ac:dyDescent="0.25">
      <c r="A93" s="111" t="s">
        <v>38</v>
      </c>
      <c r="B93" s="110" t="s">
        <v>96</v>
      </c>
      <c r="C93" s="151">
        <v>2.0000000000000001E-4</v>
      </c>
      <c r="D93" s="119">
        <f>D86*C93</f>
        <v>0.90260535298800026</v>
      </c>
    </row>
    <row r="94" spans="1:9" x14ac:dyDescent="0.25">
      <c r="A94" s="111" t="s">
        <v>57</v>
      </c>
      <c r="B94" s="110" t="s">
        <v>97</v>
      </c>
      <c r="C94" s="151">
        <v>2.7999999999999998E-4</v>
      </c>
      <c r="D94" s="119">
        <f>D86*C94</f>
        <v>1.2636474941832001</v>
      </c>
    </row>
    <row r="95" spans="1:9" x14ac:dyDescent="0.25">
      <c r="A95" s="111"/>
      <c r="B95" s="110" t="s">
        <v>139</v>
      </c>
      <c r="C95" s="151">
        <v>3.5999999999999999E-3</v>
      </c>
      <c r="D95" s="119">
        <f>D86*C95</f>
        <v>16.246896353784003</v>
      </c>
    </row>
    <row r="96" spans="1:9" x14ac:dyDescent="0.25">
      <c r="A96" s="111" t="s">
        <v>41</v>
      </c>
      <c r="B96" s="110" t="s">
        <v>98</v>
      </c>
      <c r="C96" s="151">
        <v>3.8999999999999999E-4</v>
      </c>
      <c r="D96" s="119">
        <f>D86*C96</f>
        <v>1.7600804383266004</v>
      </c>
    </row>
    <row r="97" spans="1:4" x14ac:dyDescent="0.25">
      <c r="A97" s="111" t="s">
        <v>42</v>
      </c>
      <c r="B97" s="110" t="s">
        <v>126</v>
      </c>
      <c r="C97" s="146"/>
      <c r="D97" s="119">
        <f>(($D$29+$D$68+$D$78)-$D$54)*C97</f>
        <v>0</v>
      </c>
    </row>
    <row r="98" spans="1:4" x14ac:dyDescent="0.25">
      <c r="A98" s="122" t="s">
        <v>58</v>
      </c>
      <c r="B98" s="122"/>
      <c r="C98" s="122"/>
      <c r="D98" s="121">
        <f>SUM(D91:D97)</f>
        <v>406.12727857695069</v>
      </c>
    </row>
    <row r="99" spans="1:4" x14ac:dyDescent="0.25">
      <c r="A99" s="290" t="s">
        <v>99</v>
      </c>
      <c r="B99" s="291"/>
      <c r="C99" s="291"/>
      <c r="D99" s="292"/>
    </row>
    <row r="100" spans="1:4" x14ac:dyDescent="0.25">
      <c r="A100" s="122" t="s">
        <v>100</v>
      </c>
      <c r="B100" s="111" t="s">
        <v>101</v>
      </c>
      <c r="C100" s="111"/>
      <c r="D100" s="114" t="s">
        <v>56</v>
      </c>
    </row>
    <row r="101" spans="1:4" x14ac:dyDescent="0.25">
      <c r="A101" s="111" t="s">
        <v>33</v>
      </c>
      <c r="B101" s="111" t="s">
        <v>102</v>
      </c>
      <c r="C101" s="111"/>
      <c r="D101" s="119">
        <v>0</v>
      </c>
    </row>
    <row r="102" spans="1:4" x14ac:dyDescent="0.25">
      <c r="A102" s="122" t="s">
        <v>58</v>
      </c>
      <c r="B102" s="122"/>
      <c r="C102" s="122"/>
      <c r="D102" s="121"/>
    </row>
    <row r="103" spans="1:4" x14ac:dyDescent="0.25">
      <c r="A103" s="125"/>
      <c r="B103" s="125"/>
      <c r="C103" s="125"/>
      <c r="D103" s="125"/>
    </row>
    <row r="104" spans="1:4" x14ac:dyDescent="0.25">
      <c r="A104" s="287" t="s">
        <v>103</v>
      </c>
      <c r="B104" s="288"/>
      <c r="C104" s="288"/>
      <c r="D104" s="289"/>
    </row>
    <row r="105" spans="1:4" x14ac:dyDescent="0.25">
      <c r="A105" s="114">
        <v>4</v>
      </c>
      <c r="B105" s="152" t="s">
        <v>104</v>
      </c>
      <c r="C105" s="153"/>
      <c r="D105" s="114" t="s">
        <v>56</v>
      </c>
    </row>
    <row r="106" spans="1:4" x14ac:dyDescent="0.25">
      <c r="A106" s="110" t="s">
        <v>93</v>
      </c>
      <c r="B106" s="154" t="s">
        <v>94</v>
      </c>
      <c r="C106" s="155"/>
      <c r="D106" s="156">
        <f>D98</f>
        <v>406.12727857695069</v>
      </c>
    </row>
    <row r="107" spans="1:4" x14ac:dyDescent="0.25">
      <c r="A107" s="110" t="s">
        <v>100</v>
      </c>
      <c r="B107" s="154" t="s">
        <v>101</v>
      </c>
      <c r="C107" s="155"/>
      <c r="D107" s="119">
        <f>D102</f>
        <v>0</v>
      </c>
    </row>
    <row r="108" spans="1:4" x14ac:dyDescent="0.25">
      <c r="A108" s="157" t="s">
        <v>58</v>
      </c>
      <c r="B108" s="158"/>
      <c r="C108" s="159"/>
      <c r="D108" s="121">
        <f>SUM(D106:D107)</f>
        <v>406.12727857695069</v>
      </c>
    </row>
    <row r="109" spans="1:4" x14ac:dyDescent="0.25">
      <c r="A109" s="62" t="s">
        <v>54</v>
      </c>
      <c r="B109" s="62"/>
      <c r="C109" s="62"/>
      <c r="D109" s="62"/>
    </row>
    <row r="110" spans="1:4" x14ac:dyDescent="0.25">
      <c r="A110" s="287" t="s">
        <v>105</v>
      </c>
      <c r="B110" s="288"/>
      <c r="C110" s="288"/>
      <c r="D110" s="289"/>
    </row>
    <row r="111" spans="1:4" x14ac:dyDescent="0.25">
      <c r="A111" s="114">
        <v>5</v>
      </c>
      <c r="B111" s="114" t="s">
        <v>106</v>
      </c>
      <c r="C111" s="114"/>
      <c r="D111" s="114" t="s">
        <v>56</v>
      </c>
    </row>
    <row r="112" spans="1:4" x14ac:dyDescent="0.25">
      <c r="A112" s="132" t="s">
        <v>33</v>
      </c>
      <c r="B112" s="160" t="s">
        <v>141</v>
      </c>
      <c r="C112" s="160"/>
      <c r="D112" s="136">
        <v>58.21</v>
      </c>
    </row>
    <row r="113" spans="1:4" x14ac:dyDescent="0.25">
      <c r="A113" s="110" t="s">
        <v>35</v>
      </c>
      <c r="B113" s="110" t="s">
        <v>164</v>
      </c>
      <c r="C113" s="114"/>
      <c r="D113" s="116">
        <v>0</v>
      </c>
    </row>
    <row r="114" spans="1:4" x14ac:dyDescent="0.25">
      <c r="A114" s="114" t="s">
        <v>58</v>
      </c>
      <c r="B114" s="114"/>
      <c r="C114" s="114"/>
      <c r="D114" s="117">
        <f>D112+D113</f>
        <v>58.21</v>
      </c>
    </row>
    <row r="115" spans="1:4" x14ac:dyDescent="0.25">
      <c r="A115" s="301"/>
      <c r="B115" s="301"/>
      <c r="C115" s="301"/>
      <c r="D115" s="301"/>
    </row>
    <row r="116" spans="1:4" x14ac:dyDescent="0.25">
      <c r="A116" s="287" t="s">
        <v>107</v>
      </c>
      <c r="B116" s="288"/>
      <c r="C116" s="288"/>
      <c r="D116" s="289"/>
    </row>
    <row r="117" spans="1:4" x14ac:dyDescent="0.25">
      <c r="A117" s="114">
        <v>6</v>
      </c>
      <c r="B117" s="114" t="s">
        <v>108</v>
      </c>
      <c r="C117" s="114" t="s">
        <v>68</v>
      </c>
      <c r="D117" s="114" t="s">
        <v>56</v>
      </c>
    </row>
    <row r="118" spans="1:4" x14ac:dyDescent="0.25">
      <c r="A118" s="110" t="s">
        <v>33</v>
      </c>
      <c r="B118" s="160" t="s">
        <v>109</v>
      </c>
      <c r="C118" s="161">
        <v>0.05</v>
      </c>
      <c r="D118" s="116">
        <f>C118*D134</f>
        <v>258.62110867584755</v>
      </c>
    </row>
    <row r="119" spans="1:4" x14ac:dyDescent="0.25">
      <c r="A119" s="110" t="s">
        <v>35</v>
      </c>
      <c r="B119" s="160" t="s">
        <v>110</v>
      </c>
      <c r="C119" s="161">
        <v>0.1</v>
      </c>
      <c r="D119" s="116">
        <f>C119*(D118+D134)</f>
        <v>543.10432821927986</v>
      </c>
    </row>
    <row r="120" spans="1:4" x14ac:dyDescent="0.25">
      <c r="A120" s="110" t="s">
        <v>38</v>
      </c>
      <c r="B120" s="160" t="s">
        <v>111</v>
      </c>
      <c r="C120" s="162">
        <v>6.1499999999999999E-2</v>
      </c>
      <c r="D120" s="116">
        <f>(D29+D68+D78+D108+D113+D118+D119)*(C121+C122+C123)/(1-(C121+C122+C123))</f>
        <v>387.67199045321559</v>
      </c>
    </row>
    <row r="121" spans="1:4" x14ac:dyDescent="0.25">
      <c r="A121" s="110"/>
      <c r="B121" s="132" t="s">
        <v>112</v>
      </c>
      <c r="C121" s="162">
        <v>6.4999999999999997E-3</v>
      </c>
      <c r="D121" s="116">
        <f>C121*D136</f>
        <v>41.351827405624412</v>
      </c>
    </row>
    <row r="122" spans="1:4" x14ac:dyDescent="0.25">
      <c r="A122" s="110"/>
      <c r="B122" s="132" t="s">
        <v>113</v>
      </c>
      <c r="C122" s="162">
        <v>0.03</v>
      </c>
      <c r="D122" s="116">
        <f>C122*D136</f>
        <v>190.8545880259588</v>
      </c>
    </row>
    <row r="123" spans="1:4" x14ac:dyDescent="0.25">
      <c r="A123" s="110"/>
      <c r="B123" s="110" t="s">
        <v>114</v>
      </c>
      <c r="C123" s="163">
        <v>2.5000000000000001E-2</v>
      </c>
      <c r="D123" s="116">
        <f>C123*D136</f>
        <v>159.04549002163236</v>
      </c>
    </row>
    <row r="124" spans="1:4" x14ac:dyDescent="0.25">
      <c r="A124" s="114" t="s">
        <v>58</v>
      </c>
      <c r="B124" s="114"/>
      <c r="C124" s="114"/>
      <c r="D124" s="117">
        <f>SUM(D118:D120)</f>
        <v>1189.3974273483429</v>
      </c>
    </row>
    <row r="125" spans="1:4" x14ac:dyDescent="0.25">
      <c r="A125" s="62"/>
      <c r="B125" s="62"/>
      <c r="C125" s="62"/>
      <c r="D125" s="62"/>
    </row>
    <row r="126" spans="1:4" x14ac:dyDescent="0.25">
      <c r="A126" s="321" t="s">
        <v>115</v>
      </c>
      <c r="B126" s="322"/>
      <c r="C126" s="322"/>
      <c r="D126" s="323"/>
    </row>
    <row r="127" spans="1:4" x14ac:dyDescent="0.25">
      <c r="A127" s="62" t="s">
        <v>54</v>
      </c>
      <c r="B127" s="62"/>
      <c r="C127" s="62"/>
      <c r="D127" s="62"/>
    </row>
    <row r="128" spans="1:4" ht="25.5" x14ac:dyDescent="0.25">
      <c r="A128" s="110"/>
      <c r="B128" s="114" t="s">
        <v>116</v>
      </c>
      <c r="C128" s="114"/>
      <c r="D128" s="114" t="s">
        <v>56</v>
      </c>
    </row>
    <row r="129" spans="1:4" x14ac:dyDescent="0.25">
      <c r="A129" s="110" t="s">
        <v>33</v>
      </c>
      <c r="B129" s="285" t="s">
        <v>53</v>
      </c>
      <c r="C129" s="286"/>
      <c r="D129" s="116">
        <f>D29</f>
        <v>2416.6350000000002</v>
      </c>
    </row>
    <row r="130" spans="1:4" x14ac:dyDescent="0.25">
      <c r="A130" s="110" t="s">
        <v>35</v>
      </c>
      <c r="B130" s="285" t="s">
        <v>117</v>
      </c>
      <c r="C130" s="286"/>
      <c r="D130" s="116">
        <f>D68</f>
        <v>2137.1255171480002</v>
      </c>
    </row>
    <row r="131" spans="1:4" x14ac:dyDescent="0.25">
      <c r="A131" s="110" t="s">
        <v>38</v>
      </c>
      <c r="B131" s="285" t="s">
        <v>118</v>
      </c>
      <c r="C131" s="286"/>
      <c r="D131" s="116">
        <f>D78</f>
        <v>154.32437779200001</v>
      </c>
    </row>
    <row r="132" spans="1:4" x14ac:dyDescent="0.25">
      <c r="A132" s="110" t="s">
        <v>57</v>
      </c>
      <c r="B132" s="285" t="s">
        <v>119</v>
      </c>
      <c r="C132" s="286"/>
      <c r="D132" s="116">
        <f>D108</f>
        <v>406.12727857695069</v>
      </c>
    </row>
    <row r="133" spans="1:4" x14ac:dyDescent="0.25">
      <c r="A133" s="110" t="s">
        <v>41</v>
      </c>
      <c r="B133" s="285" t="s">
        <v>120</v>
      </c>
      <c r="C133" s="286"/>
      <c r="D133" s="116">
        <f>D114</f>
        <v>58.21</v>
      </c>
    </row>
    <row r="134" spans="1:4" x14ac:dyDescent="0.25">
      <c r="A134" s="281" t="s">
        <v>121</v>
      </c>
      <c r="B134" s="282"/>
      <c r="C134" s="283"/>
      <c r="D134" s="117">
        <f>SUM(D129:D133)</f>
        <v>5172.4221735169513</v>
      </c>
    </row>
    <row r="135" spans="1:4" x14ac:dyDescent="0.25">
      <c r="A135" s="110" t="s">
        <v>42</v>
      </c>
      <c r="B135" s="285" t="s">
        <v>122</v>
      </c>
      <c r="C135" s="286"/>
      <c r="D135" s="116">
        <f>D124</f>
        <v>1189.3974273483429</v>
      </c>
    </row>
    <row r="136" spans="1:4" x14ac:dyDescent="0.25">
      <c r="A136" s="298" t="s">
        <v>123</v>
      </c>
      <c r="B136" s="299"/>
      <c r="C136" s="300"/>
      <c r="D136" s="121">
        <f>SUM(D134+D135)</f>
        <v>6361.819600865294</v>
      </c>
    </row>
    <row r="137" spans="1:4" x14ac:dyDescent="0.25">
      <c r="D137" s="149"/>
    </row>
    <row r="138" spans="1:4" x14ac:dyDescent="0.25">
      <c r="C138" s="122" t="s">
        <v>129</v>
      </c>
      <c r="D138" s="122">
        <v>4</v>
      </c>
    </row>
    <row r="139" spans="1:4" x14ac:dyDescent="0.25">
      <c r="A139" s="62"/>
      <c r="B139" s="62"/>
      <c r="C139" s="111" t="s">
        <v>124</v>
      </c>
      <c r="D139" s="164">
        <f>D138*D136</f>
        <v>25447.278403461176</v>
      </c>
    </row>
    <row r="140" spans="1:4" x14ac:dyDescent="0.25">
      <c r="A140" s="62"/>
      <c r="B140" s="62"/>
      <c r="C140" s="122" t="s">
        <v>128</v>
      </c>
      <c r="D140" s="165">
        <v>12</v>
      </c>
    </row>
    <row r="141" spans="1:4" x14ac:dyDescent="0.25">
      <c r="A141" s="62"/>
      <c r="B141" s="62"/>
      <c r="C141" s="111" t="s">
        <v>125</v>
      </c>
      <c r="D141" s="166">
        <f>D140*D139</f>
        <v>305367.34084153408</v>
      </c>
    </row>
    <row r="143" spans="1:4" x14ac:dyDescent="0.25">
      <c r="A143" s="401"/>
      <c r="B143" s="401"/>
      <c r="C143" s="401"/>
      <c r="D143" s="401"/>
    </row>
    <row r="144" spans="1:4" x14ac:dyDescent="0.25">
      <c r="A144" s="403"/>
      <c r="B144" s="403"/>
      <c r="C144" s="403"/>
      <c r="D144" s="403"/>
    </row>
    <row r="145" spans="1:4" x14ac:dyDescent="0.25">
      <c r="A145" s="402"/>
      <c r="B145" s="402"/>
      <c r="C145" s="402"/>
      <c r="D145" s="402"/>
    </row>
    <row r="146" spans="1:4" x14ac:dyDescent="0.25">
      <c r="A146" s="402"/>
      <c r="B146" s="402"/>
      <c r="C146" s="402"/>
      <c r="D146" s="402"/>
    </row>
    <row r="147" spans="1:4" x14ac:dyDescent="0.25">
      <c r="A147" s="402"/>
      <c r="B147" s="402"/>
      <c r="C147" s="402"/>
      <c r="D147" s="402"/>
    </row>
    <row r="148" spans="1:4" x14ac:dyDescent="0.25">
      <c r="A148" s="404"/>
      <c r="B148" s="404"/>
      <c r="C148" s="404"/>
      <c r="D148" s="404"/>
    </row>
    <row r="149" spans="1:4" x14ac:dyDescent="0.25">
      <c r="A149" s="402"/>
      <c r="B149" s="402"/>
      <c r="C149" s="402"/>
      <c r="D149" s="402"/>
    </row>
    <row r="150" spans="1:4" x14ac:dyDescent="0.25">
      <c r="A150" s="402"/>
      <c r="B150" s="402"/>
      <c r="C150" s="402"/>
      <c r="D150" s="402"/>
    </row>
    <row r="151" spans="1:4" x14ac:dyDescent="0.25">
      <c r="A151" s="402"/>
      <c r="B151" s="402"/>
      <c r="C151" s="402"/>
      <c r="D151" s="402"/>
    </row>
    <row r="152" spans="1:4" x14ac:dyDescent="0.25">
      <c r="A152" s="402"/>
      <c r="B152" s="402"/>
      <c r="C152" s="402"/>
      <c r="D152" s="402"/>
    </row>
    <row r="153" spans="1:4" x14ac:dyDescent="0.25">
      <c r="A153" s="404"/>
      <c r="B153" s="404"/>
      <c r="C153" s="404"/>
      <c r="D153" s="404"/>
    </row>
    <row r="154" spans="1:4" x14ac:dyDescent="0.25">
      <c r="A154" s="402"/>
      <c r="B154" s="402"/>
      <c r="C154" s="402"/>
      <c r="D154" s="402"/>
    </row>
    <row r="155" spans="1:4" x14ac:dyDescent="0.25">
      <c r="A155" s="404"/>
      <c r="B155" s="404"/>
      <c r="C155" s="404"/>
      <c r="D155" s="404"/>
    </row>
    <row r="156" spans="1:4" x14ac:dyDescent="0.25">
      <c r="A156" s="402"/>
      <c r="B156" s="402"/>
      <c r="C156" s="402"/>
      <c r="D156" s="402"/>
    </row>
    <row r="157" spans="1:4" x14ac:dyDescent="0.25">
      <c r="A157" s="402"/>
      <c r="B157" s="402"/>
      <c r="C157" s="402"/>
      <c r="D157" s="402"/>
    </row>
    <row r="158" spans="1:4" x14ac:dyDescent="0.25">
      <c r="A158" s="404"/>
      <c r="B158" s="404"/>
      <c r="C158" s="404"/>
      <c r="D158" s="404"/>
    </row>
    <row r="159" spans="1:4" x14ac:dyDescent="0.25">
      <c r="A159" s="402"/>
      <c r="B159" s="402"/>
      <c r="C159" s="402"/>
      <c r="D159" s="402"/>
    </row>
    <row r="160" spans="1:4" x14ac:dyDescent="0.25">
      <c r="A160" s="402"/>
      <c r="B160" s="402"/>
      <c r="C160" s="402"/>
      <c r="D160" s="402"/>
    </row>
    <row r="161" spans="1:4" x14ac:dyDescent="0.25">
      <c r="A161" s="402"/>
      <c r="B161" s="402"/>
      <c r="C161" s="402"/>
      <c r="D161" s="402"/>
    </row>
    <row r="162" spans="1:4" x14ac:dyDescent="0.25">
      <c r="A162" s="403"/>
      <c r="B162" s="403"/>
      <c r="C162" s="403"/>
      <c r="D162" s="403"/>
    </row>
  </sheetData>
  <mergeCells count="82">
    <mergeCell ref="A13:D13"/>
    <mergeCell ref="A1:D1"/>
    <mergeCell ref="A2:D2"/>
    <mergeCell ref="A3:D3"/>
    <mergeCell ref="A4:C4"/>
    <mergeCell ref="A6:D6"/>
    <mergeCell ref="B7:C7"/>
    <mergeCell ref="B8:C8"/>
    <mergeCell ref="B9:C9"/>
    <mergeCell ref="B10:C10"/>
    <mergeCell ref="B11:C11"/>
    <mergeCell ref="B12:C12"/>
    <mergeCell ref="A31:D31"/>
    <mergeCell ref="A14:D14"/>
    <mergeCell ref="A15:C15"/>
    <mergeCell ref="A16:C16"/>
    <mergeCell ref="A17:D17"/>
    <mergeCell ref="A18:D18"/>
    <mergeCell ref="B19:C19"/>
    <mergeCell ref="B20:C20"/>
    <mergeCell ref="B21:C21"/>
    <mergeCell ref="A23:D23"/>
    <mergeCell ref="B24:C24"/>
    <mergeCell ref="A29:C29"/>
    <mergeCell ref="A62:D62"/>
    <mergeCell ref="A32:D32"/>
    <mergeCell ref="B33:C33"/>
    <mergeCell ref="A36:B36"/>
    <mergeCell ref="A37:B37"/>
    <mergeCell ref="A38:C38"/>
    <mergeCell ref="A39:D39"/>
    <mergeCell ref="A40:D40"/>
    <mergeCell ref="A51:D51"/>
    <mergeCell ref="A52:D52"/>
    <mergeCell ref="B53:C53"/>
    <mergeCell ref="A61:C61"/>
    <mergeCell ref="A89:D89"/>
    <mergeCell ref="A63:D63"/>
    <mergeCell ref="B64:C64"/>
    <mergeCell ref="B65:C65"/>
    <mergeCell ref="B66:C66"/>
    <mergeCell ref="B67:C67"/>
    <mergeCell ref="A68:C68"/>
    <mergeCell ref="A70:D70"/>
    <mergeCell ref="A78:C78"/>
    <mergeCell ref="A80:D80"/>
    <mergeCell ref="A86:C86"/>
    <mergeCell ref="A88:D88"/>
    <mergeCell ref="A134:C134"/>
    <mergeCell ref="A99:D99"/>
    <mergeCell ref="A104:D104"/>
    <mergeCell ref="A110:D110"/>
    <mergeCell ref="A115:D115"/>
    <mergeCell ref="A116:D116"/>
    <mergeCell ref="A126:D126"/>
    <mergeCell ref="B129:C129"/>
    <mergeCell ref="B130:C130"/>
    <mergeCell ref="B131:C131"/>
    <mergeCell ref="B132:C132"/>
    <mergeCell ref="B133:C133"/>
    <mergeCell ref="A152:D152"/>
    <mergeCell ref="B135:C135"/>
    <mergeCell ref="A136:C136"/>
    <mergeCell ref="A143:D143"/>
    <mergeCell ref="A144:D144"/>
    <mergeCell ref="A145:D145"/>
    <mergeCell ref="A146:D146"/>
    <mergeCell ref="A147:D147"/>
    <mergeCell ref="A148:D148"/>
    <mergeCell ref="A149:D149"/>
    <mergeCell ref="A150:D150"/>
    <mergeCell ref="A151:D151"/>
    <mergeCell ref="A159:D159"/>
    <mergeCell ref="A160:D160"/>
    <mergeCell ref="A161:D161"/>
    <mergeCell ref="A162:D162"/>
    <mergeCell ref="A153:D153"/>
    <mergeCell ref="A154:D154"/>
    <mergeCell ref="A155:D155"/>
    <mergeCell ref="A156:D156"/>
    <mergeCell ref="A157:D157"/>
    <mergeCell ref="A158:D158"/>
  </mergeCells>
  <pageMargins left="0.25" right="0.25"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7656-3724-4A9E-9611-E21ED7E6E13E}">
  <sheetPr>
    <pageSetUpPr fitToPage="1"/>
  </sheetPr>
  <dimension ref="A1:G34"/>
  <sheetViews>
    <sheetView workbookViewId="0">
      <selection sqref="A1:E1"/>
    </sheetView>
  </sheetViews>
  <sheetFormatPr defaultRowHeight="12.75" x14ac:dyDescent="0.2"/>
  <cols>
    <col min="1" max="1" width="69.85546875" style="70" bestFit="1" customWidth="1"/>
    <col min="2" max="2" width="9.140625" style="63" bestFit="1" customWidth="1"/>
    <col min="3" max="3" width="7.7109375" style="63" bestFit="1" customWidth="1"/>
    <col min="4" max="4" width="16.7109375" style="63" bestFit="1" customWidth="1"/>
    <col min="5" max="5" width="14.140625" style="63" bestFit="1" customWidth="1"/>
    <col min="6" max="16384" width="9.140625" style="70"/>
  </cols>
  <sheetData>
    <row r="1" spans="1:7" ht="27" customHeight="1" thickBot="1" x14ac:dyDescent="0.25">
      <c r="A1" s="413" t="s">
        <v>297</v>
      </c>
      <c r="B1" s="414"/>
      <c r="C1" s="414"/>
      <c r="D1" s="414"/>
      <c r="E1" s="415"/>
      <c r="F1" s="79"/>
      <c r="G1" s="80"/>
    </row>
    <row r="2" spans="1:7" ht="27" customHeight="1" x14ac:dyDescent="0.2">
      <c r="A2" s="418" t="s">
        <v>207</v>
      </c>
      <c r="B2" s="419"/>
      <c r="C2" s="419"/>
      <c r="D2" s="419"/>
      <c r="E2" s="420"/>
      <c r="F2" s="79"/>
      <c r="G2" s="80"/>
    </row>
    <row r="3" spans="1:7" s="68" customFormat="1" x14ac:dyDescent="0.2">
      <c r="A3" s="429" t="s">
        <v>1</v>
      </c>
      <c r="B3" s="430" t="s">
        <v>152</v>
      </c>
      <c r="C3" s="430" t="s">
        <v>14</v>
      </c>
      <c r="D3" s="430" t="s">
        <v>161</v>
      </c>
      <c r="E3" s="431" t="s">
        <v>23</v>
      </c>
      <c r="F3" s="432"/>
      <c r="G3" s="421"/>
    </row>
    <row r="4" spans="1:7" s="68" customFormat="1" x14ac:dyDescent="0.2">
      <c r="A4" s="429"/>
      <c r="B4" s="430"/>
      <c r="C4" s="430"/>
      <c r="D4" s="430"/>
      <c r="E4" s="431"/>
      <c r="F4" s="433"/>
      <c r="G4" s="422"/>
    </row>
    <row r="5" spans="1:7" x14ac:dyDescent="0.2">
      <c r="A5" s="73" t="s">
        <v>153</v>
      </c>
      <c r="B5" s="66" t="s">
        <v>152</v>
      </c>
      <c r="C5" s="66">
        <v>1</v>
      </c>
      <c r="D5" s="67">
        <v>30.76</v>
      </c>
      <c r="E5" s="74">
        <f>C5*D5</f>
        <v>30.76</v>
      </c>
      <c r="F5" s="72"/>
      <c r="G5" s="69"/>
    </row>
    <row r="6" spans="1:7" x14ac:dyDescent="0.2">
      <c r="A6" s="73" t="s">
        <v>167</v>
      </c>
      <c r="B6" s="66" t="s">
        <v>152</v>
      </c>
      <c r="C6" s="66">
        <v>1</v>
      </c>
      <c r="D6" s="67">
        <v>9.6999999999999993</v>
      </c>
      <c r="E6" s="74">
        <f t="shared" ref="E6:E15" si="0">C6*D6</f>
        <v>9.6999999999999993</v>
      </c>
      <c r="F6" s="72"/>
      <c r="G6" s="69"/>
    </row>
    <row r="7" spans="1:7" x14ac:dyDescent="0.2">
      <c r="A7" s="73" t="s">
        <v>159</v>
      </c>
      <c r="B7" s="66" t="s">
        <v>154</v>
      </c>
      <c r="C7" s="66">
        <v>1</v>
      </c>
      <c r="D7" s="67">
        <v>40.03</v>
      </c>
      <c r="E7" s="74">
        <f t="shared" si="0"/>
        <v>40.03</v>
      </c>
      <c r="F7" s="72"/>
      <c r="G7" s="69"/>
    </row>
    <row r="8" spans="1:7" x14ac:dyDescent="0.2">
      <c r="A8" s="73" t="s">
        <v>155</v>
      </c>
      <c r="B8" s="66" t="s">
        <v>152</v>
      </c>
      <c r="C8" s="66">
        <v>4</v>
      </c>
      <c r="D8" s="67">
        <v>18.43</v>
      </c>
      <c r="E8" s="74">
        <f t="shared" si="0"/>
        <v>73.72</v>
      </c>
      <c r="F8" s="72"/>
      <c r="G8" s="69"/>
    </row>
    <row r="9" spans="1:7" x14ac:dyDescent="0.2">
      <c r="A9" s="73" t="s">
        <v>156</v>
      </c>
      <c r="B9" s="66" t="s">
        <v>152</v>
      </c>
      <c r="C9" s="66">
        <v>4</v>
      </c>
      <c r="D9" s="67">
        <v>30.26</v>
      </c>
      <c r="E9" s="74">
        <f t="shared" si="0"/>
        <v>121.04</v>
      </c>
      <c r="F9" s="72"/>
      <c r="G9" s="69"/>
    </row>
    <row r="10" spans="1:7" x14ac:dyDescent="0.2">
      <c r="A10" s="73" t="s">
        <v>163</v>
      </c>
      <c r="B10" s="66" t="s">
        <v>152</v>
      </c>
      <c r="C10" s="66">
        <v>2</v>
      </c>
      <c r="D10" s="67">
        <v>28.86</v>
      </c>
      <c r="E10" s="74">
        <f t="shared" si="0"/>
        <v>57.72</v>
      </c>
      <c r="F10" s="72"/>
      <c r="G10" s="69"/>
    </row>
    <row r="11" spans="1:7" x14ac:dyDescent="0.2">
      <c r="A11" s="73" t="s">
        <v>174</v>
      </c>
      <c r="B11" s="66" t="s">
        <v>152</v>
      </c>
      <c r="C11" s="66">
        <v>1</v>
      </c>
      <c r="D11" s="67">
        <v>153.5</v>
      </c>
      <c r="E11" s="74">
        <f t="shared" si="0"/>
        <v>153.5</v>
      </c>
      <c r="F11" s="72"/>
      <c r="G11" s="69"/>
    </row>
    <row r="12" spans="1:7" x14ac:dyDescent="0.2">
      <c r="A12" s="73" t="s">
        <v>160</v>
      </c>
      <c r="B12" s="66" t="s">
        <v>154</v>
      </c>
      <c r="C12" s="66">
        <v>12</v>
      </c>
      <c r="D12" s="67">
        <v>4.3899999999999997</v>
      </c>
      <c r="E12" s="74">
        <f t="shared" si="0"/>
        <v>52.679999999999993</v>
      </c>
      <c r="F12" s="72"/>
      <c r="G12" s="69"/>
    </row>
    <row r="13" spans="1:7" x14ac:dyDescent="0.2">
      <c r="A13" s="73" t="s">
        <v>157</v>
      </c>
      <c r="B13" s="66" t="s">
        <v>154</v>
      </c>
      <c r="C13" s="66">
        <v>4</v>
      </c>
      <c r="D13" s="67">
        <v>2.76</v>
      </c>
      <c r="E13" s="74">
        <f t="shared" si="0"/>
        <v>11.04</v>
      </c>
      <c r="F13" s="72"/>
      <c r="G13" s="69"/>
    </row>
    <row r="14" spans="1:7" x14ac:dyDescent="0.2">
      <c r="A14" s="73" t="s">
        <v>158</v>
      </c>
      <c r="B14" s="66" t="s">
        <v>154</v>
      </c>
      <c r="C14" s="66">
        <v>1</v>
      </c>
      <c r="D14" s="67">
        <v>90.76</v>
      </c>
      <c r="E14" s="74">
        <f t="shared" si="0"/>
        <v>90.76</v>
      </c>
      <c r="F14" s="72"/>
      <c r="G14" s="69"/>
    </row>
    <row r="15" spans="1:7" x14ac:dyDescent="0.2">
      <c r="A15" s="73" t="s">
        <v>162</v>
      </c>
      <c r="B15" s="66" t="s">
        <v>152</v>
      </c>
      <c r="C15" s="66">
        <v>360</v>
      </c>
      <c r="D15" s="67">
        <v>0.16</v>
      </c>
      <c r="E15" s="74">
        <f t="shared" si="0"/>
        <v>57.6</v>
      </c>
      <c r="F15" s="72"/>
      <c r="G15" s="69"/>
    </row>
    <row r="16" spans="1:7" s="68" customFormat="1" x14ac:dyDescent="0.2">
      <c r="A16" s="426" t="s">
        <v>23</v>
      </c>
      <c r="B16" s="427"/>
      <c r="C16" s="427"/>
      <c r="D16" s="427"/>
      <c r="E16" s="93">
        <f>SUM(E5:E15)</f>
        <v>698.55</v>
      </c>
      <c r="F16" s="76"/>
      <c r="G16" s="75"/>
    </row>
    <row r="17" spans="1:7" ht="13.5" thickBot="1" x14ac:dyDescent="0.25">
      <c r="A17" s="416" t="s">
        <v>165</v>
      </c>
      <c r="B17" s="417"/>
      <c r="C17" s="417"/>
      <c r="D17" s="417"/>
      <c r="E17" s="94">
        <f>E16/12</f>
        <v>58.212499999999999</v>
      </c>
      <c r="F17" s="72"/>
      <c r="G17" s="69"/>
    </row>
    <row r="18" spans="1:7" x14ac:dyDescent="0.2">
      <c r="A18" s="81"/>
      <c r="B18" s="81"/>
      <c r="C18" s="81"/>
      <c r="D18" s="81"/>
      <c r="E18" s="82"/>
      <c r="F18" s="72"/>
      <c r="G18" s="69"/>
    </row>
    <row r="19" spans="1:7" x14ac:dyDescent="0.2">
      <c r="A19" s="423"/>
      <c r="B19" s="424"/>
      <c r="C19" s="424"/>
      <c r="D19" s="424"/>
      <c r="E19" s="425"/>
      <c r="F19" s="69"/>
      <c r="G19" s="69"/>
    </row>
    <row r="20" spans="1:7" x14ac:dyDescent="0.2">
      <c r="A20" s="428"/>
      <c r="B20" s="428"/>
      <c r="C20" s="428"/>
      <c r="D20" s="428"/>
      <c r="E20" s="428"/>
      <c r="F20" s="72"/>
      <c r="G20" s="69"/>
    </row>
    <row r="21" spans="1:7" x14ac:dyDescent="0.2">
      <c r="A21" s="188"/>
      <c r="B21" s="188"/>
      <c r="C21" s="188"/>
      <c r="D21" s="188"/>
      <c r="E21" s="188"/>
      <c r="F21" s="77"/>
      <c r="G21" s="69"/>
    </row>
    <row r="22" spans="1:7" x14ac:dyDescent="0.2">
      <c r="A22" s="428"/>
      <c r="B22" s="428"/>
      <c r="C22" s="428"/>
      <c r="D22" s="428"/>
      <c r="E22" s="428"/>
      <c r="F22" s="72"/>
      <c r="G22" s="69"/>
    </row>
    <row r="23" spans="1:7" ht="12.75" customHeight="1" x14ac:dyDescent="0.2">
      <c r="A23" s="408"/>
      <c r="B23" s="408"/>
      <c r="C23" s="408"/>
      <c r="D23" s="408"/>
      <c r="E23" s="408"/>
      <c r="F23" s="72"/>
      <c r="G23" s="69"/>
    </row>
    <row r="24" spans="1:7" x14ac:dyDescent="0.2">
      <c r="A24" s="408"/>
      <c r="B24" s="408"/>
      <c r="C24" s="408"/>
      <c r="D24" s="408"/>
      <c r="E24" s="408"/>
      <c r="F24" s="72"/>
      <c r="G24" s="69"/>
    </row>
    <row r="25" spans="1:7" x14ac:dyDescent="0.2">
      <c r="A25" s="408"/>
      <c r="B25" s="408"/>
      <c r="C25" s="408"/>
      <c r="D25" s="408"/>
      <c r="E25" s="408"/>
      <c r="F25" s="72"/>
      <c r="G25" s="69"/>
    </row>
    <row r="26" spans="1:7" x14ac:dyDescent="0.2">
      <c r="A26" s="187"/>
      <c r="B26" s="187"/>
      <c r="C26" s="187"/>
      <c r="D26" s="187"/>
      <c r="E26" s="187"/>
      <c r="F26" s="72"/>
      <c r="G26" s="69"/>
    </row>
    <row r="27" spans="1:7" ht="12.75" customHeight="1" x14ac:dyDescent="0.2">
      <c r="A27" s="409"/>
      <c r="B27" s="409"/>
      <c r="C27" s="409"/>
      <c r="D27" s="409"/>
      <c r="E27" s="409"/>
      <c r="F27" s="78"/>
      <c r="G27" s="69"/>
    </row>
    <row r="28" spans="1:7" x14ac:dyDescent="0.2">
      <c r="A28" s="409"/>
      <c r="B28" s="409"/>
      <c r="C28" s="409"/>
      <c r="D28" s="409"/>
      <c r="E28" s="409"/>
      <c r="F28" s="72"/>
      <c r="G28" s="69"/>
    </row>
    <row r="29" spans="1:7" x14ac:dyDescent="0.2">
      <c r="A29" s="410"/>
      <c r="B29" s="411"/>
      <c r="C29" s="411"/>
      <c r="D29" s="411"/>
      <c r="E29" s="411"/>
      <c r="F29" s="412"/>
      <c r="G29" s="69"/>
    </row>
    <row r="30" spans="1:7" ht="38.25" customHeight="1" x14ac:dyDescent="0.2">
      <c r="D30" s="71"/>
      <c r="E30" s="71"/>
      <c r="F30" s="69"/>
      <c r="G30" s="69"/>
    </row>
    <row r="31" spans="1:7" x14ac:dyDescent="0.2">
      <c r="D31" s="71"/>
      <c r="E31" s="71"/>
      <c r="F31" s="69"/>
      <c r="G31" s="69"/>
    </row>
    <row r="32" spans="1:7" x14ac:dyDescent="0.2">
      <c r="D32" s="71"/>
      <c r="E32" s="71"/>
      <c r="F32" s="69"/>
      <c r="G32" s="69"/>
    </row>
    <row r="33" spans="4:7" x14ac:dyDescent="0.2">
      <c r="D33" s="71"/>
      <c r="E33" s="71"/>
      <c r="F33" s="69"/>
      <c r="G33" s="69"/>
    </row>
    <row r="34" spans="4:7" x14ac:dyDescent="0.2">
      <c r="D34" s="71"/>
      <c r="E34" s="71"/>
      <c r="F34" s="69"/>
      <c r="G34" s="69"/>
    </row>
  </sheetData>
  <mergeCells count="17">
    <mergeCell ref="G3:G4"/>
    <mergeCell ref="A19:E19"/>
    <mergeCell ref="A16:D16"/>
    <mergeCell ref="A22:E22"/>
    <mergeCell ref="A3:A4"/>
    <mergeCell ref="B3:B4"/>
    <mergeCell ref="C3:C4"/>
    <mergeCell ref="D3:D4"/>
    <mergeCell ref="E3:E4"/>
    <mergeCell ref="F3:F4"/>
    <mergeCell ref="A20:E20"/>
    <mergeCell ref="A23:E25"/>
    <mergeCell ref="A27:E28"/>
    <mergeCell ref="A29:F29"/>
    <mergeCell ref="A1:E1"/>
    <mergeCell ref="A17:D17"/>
    <mergeCell ref="A2:E2"/>
  </mergeCells>
  <printOptions horizontalCentered="1"/>
  <pageMargins left="0.23622047244094491" right="0.23622047244094491" top="0.74803149606299213" bottom="0.74803149606299213" header="0.31496062992125984" footer="0.31496062992125984"/>
  <pageSetup paperSize="9" fitToHeight="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8A00-8D22-40EE-B2A4-A0F6AC30D67F}">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31FFA-9903-43AD-A8B8-3DD6EF132C01}">
  <dimension ref="A1:G23"/>
  <sheetViews>
    <sheetView workbookViewId="0">
      <selection sqref="A1:E1"/>
    </sheetView>
  </sheetViews>
  <sheetFormatPr defaultRowHeight="12.75" x14ac:dyDescent="0.25"/>
  <cols>
    <col min="1" max="1" width="35" style="62" customWidth="1"/>
    <col min="2" max="2" width="13.42578125" style="62" customWidth="1"/>
    <col min="3" max="3" width="11.5703125" style="62" customWidth="1"/>
    <col min="4" max="4" width="20.5703125" style="62" customWidth="1"/>
    <col min="5" max="5" width="21.140625" style="62" customWidth="1"/>
    <col min="6" max="6" width="16" style="62" customWidth="1"/>
    <col min="7" max="7" width="15.7109375" style="62" customWidth="1"/>
    <col min="8" max="8" width="21.7109375" style="62" customWidth="1"/>
    <col min="9" max="16384" width="9.140625" style="62"/>
  </cols>
  <sheetData>
    <row r="1" spans="1:7" ht="20.25" thickBot="1" x14ac:dyDescent="0.3">
      <c r="A1" s="434" t="s">
        <v>298</v>
      </c>
      <c r="B1" s="435"/>
      <c r="C1" s="435"/>
      <c r="D1" s="435"/>
      <c r="E1" s="436"/>
      <c r="F1" s="83"/>
      <c r="G1" s="83"/>
    </row>
    <row r="2" spans="1:7" ht="15.75" x14ac:dyDescent="0.25">
      <c r="A2" s="437" t="s">
        <v>245</v>
      </c>
      <c r="B2" s="438"/>
      <c r="C2" s="438"/>
      <c r="D2" s="438"/>
      <c r="E2" s="439"/>
      <c r="F2" s="83"/>
      <c r="G2" s="83"/>
    </row>
    <row r="3" spans="1:7" ht="15" x14ac:dyDescent="0.25">
      <c r="A3" s="441" t="s">
        <v>1</v>
      </c>
      <c r="B3" s="440" t="s">
        <v>152</v>
      </c>
      <c r="C3" s="440" t="s">
        <v>14</v>
      </c>
      <c r="D3" s="440" t="s">
        <v>161</v>
      </c>
      <c r="E3" s="442" t="s">
        <v>23</v>
      </c>
      <c r="F3" s="83"/>
      <c r="G3" s="83"/>
    </row>
    <row r="4" spans="1:7" ht="15" x14ac:dyDescent="0.25">
      <c r="A4" s="441"/>
      <c r="B4" s="440"/>
      <c r="C4" s="440"/>
      <c r="D4" s="440"/>
      <c r="E4" s="442"/>
      <c r="F4"/>
      <c r="G4" s="83"/>
    </row>
    <row r="5" spans="1:7" ht="25.5" x14ac:dyDescent="0.25">
      <c r="A5" s="95" t="s">
        <v>289</v>
      </c>
      <c r="B5" s="88" t="s">
        <v>152</v>
      </c>
      <c r="C5" s="88">
        <v>4</v>
      </c>
      <c r="D5" s="96">
        <v>67.69</v>
      </c>
      <c r="E5" s="97">
        <f>D5*C5/12</f>
        <v>22.563333333333333</v>
      </c>
      <c r="F5" s="83"/>
      <c r="G5" s="83"/>
    </row>
    <row r="6" spans="1:7" ht="15" x14ac:dyDescent="0.25">
      <c r="A6" s="95" t="s">
        <v>281</v>
      </c>
      <c r="B6" s="88" t="s">
        <v>152</v>
      </c>
      <c r="C6" s="88">
        <v>1</v>
      </c>
      <c r="D6" s="96">
        <v>9.6999999999999993</v>
      </c>
      <c r="E6" s="97">
        <f t="shared" ref="E6:E11" si="0">D6*C6/12</f>
        <v>0.80833333333333324</v>
      </c>
      <c r="F6" s="83"/>
      <c r="G6" s="83"/>
    </row>
    <row r="7" spans="1:7" ht="15" x14ac:dyDescent="0.25">
      <c r="A7" s="95" t="s">
        <v>290</v>
      </c>
      <c r="B7" s="88" t="s">
        <v>152</v>
      </c>
      <c r="C7" s="88">
        <v>4</v>
      </c>
      <c r="D7" s="96">
        <v>121.86</v>
      </c>
      <c r="E7" s="97">
        <f t="shared" si="0"/>
        <v>40.619999999999997</v>
      </c>
      <c r="F7" s="83"/>
      <c r="G7" s="83"/>
    </row>
    <row r="8" spans="1:7" ht="15" x14ac:dyDescent="0.25">
      <c r="A8" s="95" t="s">
        <v>284</v>
      </c>
      <c r="B8" s="88" t="s">
        <v>154</v>
      </c>
      <c r="C8" s="88">
        <v>4</v>
      </c>
      <c r="D8" s="96">
        <v>97.66</v>
      </c>
      <c r="E8" s="97">
        <f t="shared" si="0"/>
        <v>32.553333333333335</v>
      </c>
      <c r="F8" s="83"/>
      <c r="G8" s="83"/>
    </row>
    <row r="9" spans="1:7" ht="15" x14ac:dyDescent="0.25">
      <c r="A9" s="95" t="s">
        <v>291</v>
      </c>
      <c r="B9" s="88" t="s">
        <v>152</v>
      </c>
      <c r="C9" s="88">
        <v>2</v>
      </c>
      <c r="D9" s="96">
        <v>27.87</v>
      </c>
      <c r="E9" s="97">
        <f t="shared" si="0"/>
        <v>4.6450000000000005</v>
      </c>
      <c r="F9" s="83"/>
      <c r="G9" s="83"/>
    </row>
    <row r="10" spans="1:7" ht="15" x14ac:dyDescent="0.25">
      <c r="A10" s="95" t="s">
        <v>292</v>
      </c>
      <c r="B10" s="88" t="s">
        <v>152</v>
      </c>
      <c r="C10" s="88">
        <v>2</v>
      </c>
      <c r="D10" s="96">
        <v>94.37</v>
      </c>
      <c r="E10" s="97">
        <f t="shared" si="0"/>
        <v>15.728333333333333</v>
      </c>
      <c r="F10" s="83"/>
      <c r="G10" s="83"/>
    </row>
    <row r="11" spans="1:7" ht="15" x14ac:dyDescent="0.25">
      <c r="A11" s="95" t="s">
        <v>293</v>
      </c>
      <c r="B11" s="88" t="s">
        <v>152</v>
      </c>
      <c r="C11" s="88">
        <v>360</v>
      </c>
      <c r="D11" s="96">
        <v>0.16</v>
      </c>
      <c r="E11" s="97">
        <f t="shared" si="0"/>
        <v>4.8</v>
      </c>
      <c r="F11" s="83"/>
      <c r="G11" s="83"/>
    </row>
    <row r="12" spans="1:7" ht="15" x14ac:dyDescent="0.25">
      <c r="A12" s="444" t="s">
        <v>294</v>
      </c>
      <c r="B12" s="445"/>
      <c r="C12" s="445"/>
      <c r="D12" s="445"/>
      <c r="E12" s="98">
        <f>SUM(E5:E11)</f>
        <v>121.71833333333332</v>
      </c>
      <c r="F12" s="83"/>
      <c r="G12" s="83"/>
    </row>
    <row r="13" spans="1:7" ht="15" x14ac:dyDescent="0.25">
      <c r="A13" s="85"/>
      <c r="B13" s="85"/>
      <c r="C13" s="85"/>
      <c r="D13" s="85"/>
      <c r="E13" s="84"/>
      <c r="F13" s="83"/>
      <c r="G13" s="83"/>
    </row>
    <row r="14" spans="1:7" ht="15" x14ac:dyDescent="0.25">
      <c r="A14" s="446"/>
      <c r="B14" s="446"/>
      <c r="C14" s="446"/>
      <c r="D14" s="446"/>
      <c r="E14" s="446"/>
      <c r="F14" s="83"/>
      <c r="G14" s="83"/>
    </row>
    <row r="15" spans="1:7" ht="15" x14ac:dyDescent="0.25">
      <c r="A15" s="447"/>
      <c r="B15" s="447"/>
      <c r="C15" s="447"/>
      <c r="D15" s="86"/>
      <c r="E15" s="86"/>
      <c r="F15" s="83"/>
      <c r="G15" s="83"/>
    </row>
    <row r="16" spans="1:7" ht="15" x14ac:dyDescent="0.25">
      <c r="A16" s="87"/>
      <c r="B16" s="87"/>
      <c r="C16" s="87"/>
      <c r="D16" s="87"/>
      <c r="E16" s="87"/>
      <c r="F16" s="83"/>
      <c r="G16" s="83"/>
    </row>
    <row r="17" spans="1:7" ht="15" x14ac:dyDescent="0.25">
      <c r="A17" s="447"/>
      <c r="B17" s="447"/>
      <c r="C17" s="447"/>
      <c r="D17" s="447"/>
      <c r="E17" s="447"/>
      <c r="F17" s="83"/>
      <c r="G17" s="83"/>
    </row>
    <row r="18" spans="1:7" ht="15" x14ac:dyDescent="0.25">
      <c r="A18" s="443"/>
      <c r="B18" s="443"/>
      <c r="C18" s="443"/>
      <c r="D18" s="443"/>
      <c r="E18" s="443"/>
      <c r="F18" s="83"/>
      <c r="G18" s="83"/>
    </row>
    <row r="19" spans="1:7" ht="15" x14ac:dyDescent="0.25">
      <c r="A19" s="443"/>
      <c r="B19" s="443"/>
      <c r="C19" s="443"/>
      <c r="D19" s="443"/>
      <c r="E19" s="443"/>
      <c r="F19"/>
      <c r="G19" s="83"/>
    </row>
    <row r="20" spans="1:7" ht="15" x14ac:dyDescent="0.25">
      <c r="A20" s="443"/>
      <c r="B20" s="443"/>
      <c r="C20" s="443"/>
      <c r="D20" s="443"/>
      <c r="E20" s="443"/>
      <c r="F20"/>
      <c r="G20" s="83"/>
    </row>
    <row r="21" spans="1:7" ht="15" x14ac:dyDescent="0.25">
      <c r="A21" s="86"/>
      <c r="B21" s="86"/>
      <c r="C21" s="86"/>
      <c r="D21" s="86"/>
      <c r="E21" s="86"/>
      <c r="F21" s="83"/>
      <c r="G21" s="83"/>
    </row>
    <row r="22" spans="1:7" ht="15" x14ac:dyDescent="0.25">
      <c r="A22" s="443"/>
      <c r="B22" s="443"/>
      <c r="C22" s="443"/>
      <c r="D22" s="443"/>
      <c r="E22" s="443"/>
      <c r="F22" s="83"/>
      <c r="G22" s="83"/>
    </row>
    <row r="23" spans="1:7" ht="15" x14ac:dyDescent="0.25">
      <c r="A23" s="443"/>
      <c r="B23" s="443"/>
      <c r="C23" s="443"/>
      <c r="D23" s="443"/>
      <c r="E23" s="443"/>
      <c r="F23"/>
      <c r="G23" s="83"/>
    </row>
  </sheetData>
  <mergeCells count="13">
    <mergeCell ref="A18:E20"/>
    <mergeCell ref="A22:E23"/>
    <mergeCell ref="A12:D12"/>
    <mergeCell ref="A14:E14"/>
    <mergeCell ref="A15:C15"/>
    <mergeCell ref="A17:E17"/>
    <mergeCell ref="A1:E1"/>
    <mergeCell ref="A2:E2"/>
    <mergeCell ref="D3:D4"/>
    <mergeCell ref="A3:A4"/>
    <mergeCell ref="B3:B4"/>
    <mergeCell ref="C3:C4"/>
    <mergeCell ref="E3:E4"/>
  </mergeCells>
  <printOptions horizontalCentered="1"/>
  <pageMargins left="0.98425196850393704" right="0.98425196850393704" top="0.98425196850393704" bottom="0.98425196850393704" header="0.51181102362204722" footer="0.51181102362204722"/>
  <pageSetup paperSize="9"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07C8D-67E2-4182-88C6-7740849E4466}">
  <dimension ref="A1:E14"/>
  <sheetViews>
    <sheetView workbookViewId="0">
      <selection sqref="A1:E1"/>
    </sheetView>
  </sheetViews>
  <sheetFormatPr defaultRowHeight="15" x14ac:dyDescent="0.25"/>
  <cols>
    <col min="1" max="1" width="46.42578125" customWidth="1"/>
    <col min="2" max="2" width="9.140625" bestFit="1" customWidth="1"/>
    <col min="3" max="3" width="7.7109375" bestFit="1" customWidth="1"/>
    <col min="4" max="4" width="16.7109375" bestFit="1" customWidth="1"/>
    <col min="5" max="5" width="33.28515625" bestFit="1" customWidth="1"/>
  </cols>
  <sheetData>
    <row r="1" spans="1:5" ht="38.25" customHeight="1" x14ac:dyDescent="0.25">
      <c r="A1" s="450" t="s">
        <v>299</v>
      </c>
      <c r="B1" s="451"/>
      <c r="C1" s="451"/>
      <c r="D1" s="451"/>
      <c r="E1" s="452"/>
    </row>
    <row r="2" spans="1:5" x14ac:dyDescent="0.25">
      <c r="A2" s="441" t="s">
        <v>1</v>
      </c>
      <c r="B2" s="440" t="s">
        <v>152</v>
      </c>
      <c r="C2" s="440" t="s">
        <v>14</v>
      </c>
      <c r="D2" s="440" t="s">
        <v>161</v>
      </c>
      <c r="E2" s="453" t="s">
        <v>165</v>
      </c>
    </row>
    <row r="3" spans="1:5" x14ac:dyDescent="0.25">
      <c r="A3" s="441"/>
      <c r="B3" s="440"/>
      <c r="C3" s="440"/>
      <c r="D3" s="440"/>
      <c r="E3" s="453"/>
    </row>
    <row r="4" spans="1:5" ht="25.5" x14ac:dyDescent="0.25">
      <c r="A4" s="95" t="s">
        <v>276</v>
      </c>
      <c r="B4" s="88" t="s">
        <v>152</v>
      </c>
      <c r="C4" s="88">
        <v>1950</v>
      </c>
      <c r="D4" s="96">
        <v>2.68</v>
      </c>
      <c r="E4" s="97">
        <f>D4*C4</f>
        <v>5226</v>
      </c>
    </row>
    <row r="5" spans="1:5" x14ac:dyDescent="0.25">
      <c r="A5" s="95" t="s">
        <v>278</v>
      </c>
      <c r="B5" s="88" t="s">
        <v>152</v>
      </c>
      <c r="C5" s="88">
        <v>65</v>
      </c>
      <c r="D5" s="96">
        <v>8.74</v>
      </c>
      <c r="E5" s="97">
        <f>D5*C5/12</f>
        <v>47.341666666666669</v>
      </c>
    </row>
    <row r="6" spans="1:5" x14ac:dyDescent="0.25">
      <c r="A6" s="95" t="s">
        <v>279</v>
      </c>
      <c r="B6" s="88" t="s">
        <v>154</v>
      </c>
      <c r="C6" s="88">
        <v>1950</v>
      </c>
      <c r="D6" s="96">
        <v>0.26</v>
      </c>
      <c r="E6" s="97">
        <f>D6*C6</f>
        <v>507</v>
      </c>
    </row>
    <row r="7" spans="1:5" x14ac:dyDescent="0.25">
      <c r="A7" s="95" t="s">
        <v>280</v>
      </c>
      <c r="B7" s="88" t="s">
        <v>154</v>
      </c>
      <c r="C7" s="88">
        <v>1950</v>
      </c>
      <c r="D7" s="96">
        <v>0.25</v>
      </c>
      <c r="E7" s="97">
        <f>D7*C7</f>
        <v>487.5</v>
      </c>
    </row>
    <row r="8" spans="1:5" x14ac:dyDescent="0.25">
      <c r="A8" s="95" t="s">
        <v>281</v>
      </c>
      <c r="B8" s="88" t="s">
        <v>152</v>
      </c>
      <c r="C8" s="88">
        <v>65</v>
      </c>
      <c r="D8" s="96">
        <v>9.6999999999999993</v>
      </c>
      <c r="E8" s="97">
        <f>D8*C8/12</f>
        <v>52.541666666666664</v>
      </c>
    </row>
    <row r="9" spans="1:5" x14ac:dyDescent="0.25">
      <c r="A9" s="95" t="s">
        <v>277</v>
      </c>
      <c r="B9" s="88" t="s">
        <v>154</v>
      </c>
      <c r="C9" s="88">
        <v>130</v>
      </c>
      <c r="D9" s="96">
        <v>79.56</v>
      </c>
      <c r="E9" s="97">
        <f>D9*C9/6</f>
        <v>1723.8000000000002</v>
      </c>
    </row>
    <row r="10" spans="1:5" x14ac:dyDescent="0.25">
      <c r="A10" s="95" t="s">
        <v>275</v>
      </c>
      <c r="B10" s="88" t="s">
        <v>154</v>
      </c>
      <c r="C10" s="88">
        <v>1950</v>
      </c>
      <c r="D10" s="96">
        <v>0.16</v>
      </c>
      <c r="E10" s="97">
        <f>D10*C10</f>
        <v>312</v>
      </c>
    </row>
    <row r="11" spans="1:5" ht="25.5" x14ac:dyDescent="0.25">
      <c r="A11" s="95" t="s">
        <v>274</v>
      </c>
      <c r="B11" s="88" t="s">
        <v>152</v>
      </c>
      <c r="C11" s="88">
        <v>1950</v>
      </c>
      <c r="D11" s="96">
        <v>0.14000000000000001</v>
      </c>
      <c r="E11" s="97">
        <f>D11*C11</f>
        <v>273</v>
      </c>
    </row>
    <row r="12" spans="1:5" ht="25.5" x14ac:dyDescent="0.25">
      <c r="A12" s="95" t="s">
        <v>273</v>
      </c>
      <c r="B12" s="88" t="s">
        <v>152</v>
      </c>
      <c r="C12" s="88">
        <v>1950</v>
      </c>
      <c r="D12" s="96">
        <v>0.16</v>
      </c>
      <c r="E12" s="97">
        <f>D12*C12</f>
        <v>312</v>
      </c>
    </row>
    <row r="13" spans="1:5" x14ac:dyDescent="0.25">
      <c r="A13" s="444" t="s">
        <v>23</v>
      </c>
      <c r="B13" s="445"/>
      <c r="C13" s="445"/>
      <c r="D13" s="445"/>
      <c r="E13" s="98">
        <f>SUM(E4:E12)</f>
        <v>8941.1833333333343</v>
      </c>
    </row>
    <row r="14" spans="1:5" ht="15.75" thickBot="1" x14ac:dyDescent="0.3">
      <c r="A14" s="448" t="s">
        <v>165</v>
      </c>
      <c r="B14" s="449"/>
      <c r="C14" s="449"/>
      <c r="D14" s="449"/>
      <c r="E14" s="99">
        <f>E13/65</f>
        <v>137.55666666666667</v>
      </c>
    </row>
  </sheetData>
  <mergeCells count="8">
    <mergeCell ref="A13:D13"/>
    <mergeCell ref="A14:D14"/>
    <mergeCell ref="A1:E1"/>
    <mergeCell ref="A2:A3"/>
    <mergeCell ref="B2:B3"/>
    <mergeCell ref="C2:C3"/>
    <mergeCell ref="D2:D3"/>
    <mergeCell ref="E2:E3"/>
  </mergeCells>
  <printOptions horizontalCentered="1"/>
  <pageMargins left="0.98425196850393704" right="0.98425196850393704" top="0.98425196850393704" bottom="0.98425196850393704" header="0.51181102362204722" footer="0.51181102362204722"/>
  <pageSetup paperSize="9"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9D9E-FBEF-46A2-8171-E520666F27CB}">
  <sheetPr>
    <pageSetUpPr fitToPage="1"/>
  </sheetPr>
  <dimension ref="A1:E30"/>
  <sheetViews>
    <sheetView workbookViewId="0">
      <selection activeCell="A2" sqref="A2:E2"/>
    </sheetView>
  </sheetViews>
  <sheetFormatPr defaultRowHeight="15" x14ac:dyDescent="0.25"/>
  <cols>
    <col min="1" max="1" width="38.7109375" customWidth="1"/>
    <col min="2" max="2" width="11" customWidth="1"/>
    <col min="3" max="3" width="10" customWidth="1"/>
    <col min="4" max="4" width="18" customWidth="1"/>
    <col min="5" max="5" width="17.5703125" customWidth="1"/>
  </cols>
  <sheetData>
    <row r="1" spans="1:5" ht="20.25" thickBot="1" x14ac:dyDescent="0.3">
      <c r="A1" s="434" t="s">
        <v>300</v>
      </c>
      <c r="B1" s="435"/>
      <c r="C1" s="435"/>
      <c r="D1" s="435"/>
      <c r="E1" s="436"/>
    </row>
    <row r="2" spans="1:5" ht="15.75" x14ac:dyDescent="0.25">
      <c r="A2" s="437" t="s">
        <v>200</v>
      </c>
      <c r="B2" s="438"/>
      <c r="C2" s="438"/>
      <c r="D2" s="438"/>
      <c r="E2" s="439"/>
    </row>
    <row r="3" spans="1:5" x14ac:dyDescent="0.25">
      <c r="A3" s="441" t="s">
        <v>1</v>
      </c>
      <c r="B3" s="440" t="s">
        <v>152</v>
      </c>
      <c r="C3" s="440" t="s">
        <v>14</v>
      </c>
      <c r="D3" s="440" t="s">
        <v>161</v>
      </c>
      <c r="E3" s="442" t="s">
        <v>23</v>
      </c>
    </row>
    <row r="4" spans="1:5" x14ac:dyDescent="0.25">
      <c r="A4" s="441"/>
      <c r="B4" s="440"/>
      <c r="C4" s="440"/>
      <c r="D4" s="440"/>
      <c r="E4" s="442"/>
    </row>
    <row r="5" spans="1:5" x14ac:dyDescent="0.25">
      <c r="A5" s="95" t="s">
        <v>153</v>
      </c>
      <c r="B5" s="88" t="s">
        <v>152</v>
      </c>
      <c r="C5" s="88">
        <v>1</v>
      </c>
      <c r="D5" s="96">
        <v>30.76</v>
      </c>
      <c r="E5" s="97">
        <f>D5*C5/12</f>
        <v>2.5633333333333335</v>
      </c>
    </row>
    <row r="6" spans="1:5" x14ac:dyDescent="0.25">
      <c r="A6" s="95" t="s">
        <v>167</v>
      </c>
      <c r="B6" s="88" t="s">
        <v>152</v>
      </c>
      <c r="C6" s="88">
        <v>1</v>
      </c>
      <c r="D6" s="96">
        <v>9.6999999999999993</v>
      </c>
      <c r="E6" s="97">
        <f t="shared" ref="E6:E16" si="0">D6*C6/12</f>
        <v>0.80833333333333324</v>
      </c>
    </row>
    <row r="7" spans="1:5" x14ac:dyDescent="0.25">
      <c r="A7" s="95" t="s">
        <v>169</v>
      </c>
      <c r="B7" s="88" t="s">
        <v>152</v>
      </c>
      <c r="C7" s="88">
        <v>4</v>
      </c>
      <c r="D7" s="96">
        <v>67.69</v>
      </c>
      <c r="E7" s="97">
        <f t="shared" si="0"/>
        <v>22.563333333333333</v>
      </c>
    </row>
    <row r="8" spans="1:5" x14ac:dyDescent="0.25">
      <c r="A8" s="95" t="s">
        <v>170</v>
      </c>
      <c r="B8" s="88" t="s">
        <v>152</v>
      </c>
      <c r="C8" s="88">
        <v>4</v>
      </c>
      <c r="D8" s="96">
        <v>121.86</v>
      </c>
      <c r="E8" s="97">
        <f t="shared" si="0"/>
        <v>40.619999999999997</v>
      </c>
    </row>
    <row r="9" spans="1:5" x14ac:dyDescent="0.25">
      <c r="A9" s="95" t="s">
        <v>173</v>
      </c>
      <c r="B9" s="88" t="s">
        <v>154</v>
      </c>
      <c r="C9" s="88">
        <v>2</v>
      </c>
      <c r="D9" s="96">
        <v>97.66</v>
      </c>
      <c r="E9" s="97">
        <f t="shared" si="0"/>
        <v>16.276666666666667</v>
      </c>
    </row>
    <row r="10" spans="1:5" x14ac:dyDescent="0.25">
      <c r="A10" s="95" t="s">
        <v>179</v>
      </c>
      <c r="B10" s="88" t="s">
        <v>152</v>
      </c>
      <c r="C10" s="88">
        <v>1</v>
      </c>
      <c r="D10" s="96">
        <v>27.87</v>
      </c>
      <c r="E10" s="97">
        <f t="shared" si="0"/>
        <v>2.3225000000000002</v>
      </c>
    </row>
    <row r="11" spans="1:5" x14ac:dyDescent="0.25">
      <c r="A11" s="95" t="s">
        <v>174</v>
      </c>
      <c r="B11" s="88" t="s">
        <v>152</v>
      </c>
      <c r="C11" s="88">
        <v>2</v>
      </c>
      <c r="D11" s="96">
        <v>153.5</v>
      </c>
      <c r="E11" s="97">
        <f t="shared" si="0"/>
        <v>25.583333333333332</v>
      </c>
    </row>
    <row r="12" spans="1:5" x14ac:dyDescent="0.25">
      <c r="A12" s="95" t="s">
        <v>176</v>
      </c>
      <c r="B12" s="88" t="s">
        <v>152</v>
      </c>
      <c r="C12" s="88">
        <v>1</v>
      </c>
      <c r="D12" s="96">
        <v>51.99</v>
      </c>
      <c r="E12" s="97">
        <f>D12*C12/12/4</f>
        <v>1.0831250000000001</v>
      </c>
    </row>
    <row r="13" spans="1:5" x14ac:dyDescent="0.25">
      <c r="A13" s="95" t="s">
        <v>177</v>
      </c>
      <c r="B13" s="88" t="s">
        <v>152</v>
      </c>
      <c r="C13" s="88">
        <v>1</v>
      </c>
      <c r="D13" s="96">
        <v>56.11</v>
      </c>
      <c r="E13" s="97">
        <f>D13*C13/12/4</f>
        <v>1.1689583333333333</v>
      </c>
    </row>
    <row r="14" spans="1:5" x14ac:dyDescent="0.25">
      <c r="A14" s="95" t="s">
        <v>175</v>
      </c>
      <c r="B14" s="88" t="s">
        <v>152</v>
      </c>
      <c r="C14" s="88">
        <v>2</v>
      </c>
      <c r="D14" s="96">
        <v>28.86</v>
      </c>
      <c r="E14" s="97">
        <f t="shared" si="0"/>
        <v>4.8099999999999996</v>
      </c>
    </row>
    <row r="15" spans="1:5" x14ac:dyDescent="0.25">
      <c r="A15" s="95" t="s">
        <v>287</v>
      </c>
      <c r="B15" s="88" t="s">
        <v>152</v>
      </c>
      <c r="C15" s="88">
        <v>1</v>
      </c>
      <c r="D15" s="96">
        <v>10.68</v>
      </c>
      <c r="E15" s="97">
        <f t="shared" si="0"/>
        <v>0.89</v>
      </c>
    </row>
    <row r="16" spans="1:5" x14ac:dyDescent="0.25">
      <c r="A16" s="95" t="s">
        <v>286</v>
      </c>
      <c r="B16" s="88" t="s">
        <v>152</v>
      </c>
      <c r="C16" s="88">
        <v>1</v>
      </c>
      <c r="D16" s="96">
        <v>37.89</v>
      </c>
      <c r="E16" s="97">
        <f t="shared" si="0"/>
        <v>3.1575000000000002</v>
      </c>
    </row>
    <row r="17" spans="1:5" x14ac:dyDescent="0.25">
      <c r="A17" s="95" t="s">
        <v>288</v>
      </c>
      <c r="B17" s="88" t="s">
        <v>152</v>
      </c>
      <c r="C17" s="88">
        <v>1</v>
      </c>
      <c r="D17" s="96">
        <v>184.12</v>
      </c>
      <c r="E17" s="97">
        <f>D17*C17/12/4</f>
        <v>3.8358333333333334</v>
      </c>
    </row>
    <row r="18" spans="1:5" x14ac:dyDescent="0.25">
      <c r="A18" s="95" t="s">
        <v>178</v>
      </c>
      <c r="B18" s="88" t="s">
        <v>152</v>
      </c>
      <c r="C18" s="88">
        <v>1</v>
      </c>
      <c r="D18" s="96">
        <v>20.23</v>
      </c>
      <c r="E18" s="97">
        <f>D18*C18/12/4</f>
        <v>0.42145833333333332</v>
      </c>
    </row>
    <row r="19" spans="1:5" x14ac:dyDescent="0.25">
      <c r="A19" s="444" t="s">
        <v>165</v>
      </c>
      <c r="B19" s="445"/>
      <c r="C19" s="445"/>
      <c r="D19" s="445"/>
      <c r="E19" s="98">
        <f>SUM(E5:E18)</f>
        <v>126.104375</v>
      </c>
    </row>
    <row r="20" spans="1:5" x14ac:dyDescent="0.25">
      <c r="A20" s="85"/>
      <c r="B20" s="85"/>
      <c r="C20" s="85"/>
      <c r="D20" s="85"/>
      <c r="E20" s="84"/>
    </row>
    <row r="21" spans="1:5" x14ac:dyDescent="0.25">
      <c r="A21" s="446"/>
      <c r="B21" s="446"/>
      <c r="C21" s="446"/>
      <c r="D21" s="446"/>
      <c r="E21" s="446"/>
    </row>
    <row r="22" spans="1:5" x14ac:dyDescent="0.25">
      <c r="A22" s="447"/>
      <c r="B22" s="447"/>
      <c r="C22" s="447"/>
      <c r="D22" s="86"/>
      <c r="E22" s="86"/>
    </row>
    <row r="23" spans="1:5" x14ac:dyDescent="0.25">
      <c r="A23" s="87"/>
      <c r="B23" s="87"/>
      <c r="C23" s="87"/>
      <c r="D23" s="87"/>
      <c r="E23" s="87"/>
    </row>
    <row r="24" spans="1:5" x14ac:dyDescent="0.25">
      <c r="A24" s="447"/>
      <c r="B24" s="447"/>
      <c r="C24" s="447"/>
      <c r="D24" s="447"/>
      <c r="E24" s="447"/>
    </row>
    <row r="25" spans="1:5" x14ac:dyDescent="0.25">
      <c r="A25" s="443"/>
      <c r="B25" s="443"/>
      <c r="C25" s="443"/>
      <c r="D25" s="443"/>
      <c r="E25" s="443"/>
    </row>
    <row r="26" spans="1:5" x14ac:dyDescent="0.25">
      <c r="A26" s="443"/>
      <c r="B26" s="443"/>
      <c r="C26" s="443"/>
      <c r="D26" s="443"/>
      <c r="E26" s="443"/>
    </row>
    <row r="27" spans="1:5" x14ac:dyDescent="0.25">
      <c r="A27" s="443"/>
      <c r="B27" s="443"/>
      <c r="C27" s="443"/>
      <c r="D27" s="443"/>
      <c r="E27" s="443"/>
    </row>
    <row r="28" spans="1:5" x14ac:dyDescent="0.25">
      <c r="A28" s="86"/>
      <c r="B28" s="86"/>
      <c r="C28" s="86"/>
      <c r="D28" s="86"/>
      <c r="E28" s="86"/>
    </row>
    <row r="29" spans="1:5" x14ac:dyDescent="0.25">
      <c r="A29" s="443"/>
      <c r="B29" s="443"/>
      <c r="C29" s="443"/>
      <c r="D29" s="443"/>
      <c r="E29" s="443"/>
    </row>
    <row r="30" spans="1:5" x14ac:dyDescent="0.25">
      <c r="A30" s="443"/>
      <c r="B30" s="443"/>
      <c r="C30" s="443"/>
      <c r="D30" s="443"/>
      <c r="E30" s="443"/>
    </row>
  </sheetData>
  <mergeCells count="13">
    <mergeCell ref="A1:E1"/>
    <mergeCell ref="A2:E2"/>
    <mergeCell ref="A3:A4"/>
    <mergeCell ref="B3:B4"/>
    <mergeCell ref="C3:C4"/>
    <mergeCell ref="D3:D4"/>
    <mergeCell ref="E3:E4"/>
    <mergeCell ref="A29:E30"/>
    <mergeCell ref="A19:D19"/>
    <mergeCell ref="A21:E21"/>
    <mergeCell ref="A22:C22"/>
    <mergeCell ref="A24:E24"/>
    <mergeCell ref="A25:E27"/>
  </mergeCells>
  <printOptions horizontalCentered="1"/>
  <pageMargins left="0.98425196850393704" right="0.98425196850393704" top="0.98425196850393704" bottom="0.98425196850393704" header="0.51181102362204722" footer="0.51181102362204722"/>
  <pageSetup paperSize="9" fitToHeight="0"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55C7-5308-4E8B-8432-7270A68D3A24}">
  <dimension ref="A1:E22"/>
  <sheetViews>
    <sheetView workbookViewId="0">
      <selection sqref="A1:E1"/>
    </sheetView>
  </sheetViews>
  <sheetFormatPr defaultRowHeight="15" x14ac:dyDescent="0.25"/>
  <cols>
    <col min="1" max="1" width="23.42578125" customWidth="1"/>
    <col min="2" max="2" width="11.7109375" customWidth="1"/>
    <col min="3" max="3" width="9.7109375" customWidth="1"/>
    <col min="4" max="4" width="20" customWidth="1"/>
    <col min="5" max="5" width="18.140625" customWidth="1"/>
  </cols>
  <sheetData>
    <row r="1" spans="1:5" ht="20.25" thickBot="1" x14ac:dyDescent="0.3">
      <c r="A1" s="434" t="s">
        <v>298</v>
      </c>
      <c r="B1" s="435"/>
      <c r="C1" s="435"/>
      <c r="D1" s="435"/>
      <c r="E1" s="436"/>
    </row>
    <row r="2" spans="1:5" ht="15.75" x14ac:dyDescent="0.25">
      <c r="A2" s="437" t="s">
        <v>271</v>
      </c>
      <c r="B2" s="438"/>
      <c r="C2" s="438"/>
      <c r="D2" s="438"/>
      <c r="E2" s="439"/>
    </row>
    <row r="3" spans="1:5" x14ac:dyDescent="0.25">
      <c r="A3" s="441" t="s">
        <v>1</v>
      </c>
      <c r="B3" s="440" t="s">
        <v>152</v>
      </c>
      <c r="C3" s="440" t="s">
        <v>14</v>
      </c>
      <c r="D3" s="440" t="s">
        <v>161</v>
      </c>
      <c r="E3" s="442" t="s">
        <v>23</v>
      </c>
    </row>
    <row r="4" spans="1:5" x14ac:dyDescent="0.25">
      <c r="A4" s="441"/>
      <c r="B4" s="440"/>
      <c r="C4" s="440"/>
      <c r="D4" s="440"/>
      <c r="E4" s="442"/>
    </row>
    <row r="5" spans="1:5" x14ac:dyDescent="0.25">
      <c r="A5" s="95" t="s">
        <v>282</v>
      </c>
      <c r="B5" s="88" t="s">
        <v>152</v>
      </c>
      <c r="C5" s="88">
        <v>4</v>
      </c>
      <c r="D5" s="96">
        <v>67.69</v>
      </c>
      <c r="E5" s="97">
        <f>D5*C5</f>
        <v>270.76</v>
      </c>
    </row>
    <row r="6" spans="1:5" x14ac:dyDescent="0.25">
      <c r="A6" s="95" t="s">
        <v>283</v>
      </c>
      <c r="B6" s="88" t="s">
        <v>152</v>
      </c>
      <c r="C6" s="88">
        <v>4</v>
      </c>
      <c r="D6" s="96">
        <v>121.86</v>
      </c>
      <c r="E6" s="97">
        <f t="shared" ref="E6:E9" si="0">D6*C6</f>
        <v>487.44</v>
      </c>
    </row>
    <row r="7" spans="1:5" x14ac:dyDescent="0.25">
      <c r="A7" s="95" t="s">
        <v>284</v>
      </c>
      <c r="B7" s="88" t="s">
        <v>152</v>
      </c>
      <c r="C7" s="88">
        <v>1</v>
      </c>
      <c r="D7" s="96">
        <v>97.66</v>
      </c>
      <c r="E7" s="97">
        <f t="shared" si="0"/>
        <v>97.66</v>
      </c>
    </row>
    <row r="8" spans="1:5" x14ac:dyDescent="0.25">
      <c r="A8" s="95" t="s">
        <v>285</v>
      </c>
      <c r="B8" s="88" t="s">
        <v>154</v>
      </c>
      <c r="C8" s="88">
        <v>360</v>
      </c>
      <c r="D8" s="96">
        <v>0.16</v>
      </c>
      <c r="E8" s="97">
        <f t="shared" si="0"/>
        <v>57.6</v>
      </c>
    </row>
    <row r="9" spans="1:5" x14ac:dyDescent="0.25">
      <c r="A9" s="95" t="s">
        <v>281</v>
      </c>
      <c r="B9" s="88" t="s">
        <v>152</v>
      </c>
      <c r="C9" s="88">
        <v>1</v>
      </c>
      <c r="D9" s="96">
        <v>9.6999999999999993</v>
      </c>
      <c r="E9" s="97">
        <f t="shared" si="0"/>
        <v>9.6999999999999993</v>
      </c>
    </row>
    <row r="10" spans="1:5" x14ac:dyDescent="0.25">
      <c r="A10" s="444" t="s">
        <v>23</v>
      </c>
      <c r="B10" s="445"/>
      <c r="C10" s="445"/>
      <c r="D10" s="445"/>
      <c r="E10" s="98">
        <f>SUM(E5:E9)</f>
        <v>923.16000000000008</v>
      </c>
    </row>
    <row r="11" spans="1:5" ht="15.75" thickBot="1" x14ac:dyDescent="0.3">
      <c r="A11" s="448" t="s">
        <v>165</v>
      </c>
      <c r="B11" s="449"/>
      <c r="C11" s="449"/>
      <c r="D11" s="449"/>
      <c r="E11" s="99">
        <f>E10/12</f>
        <v>76.930000000000007</v>
      </c>
    </row>
    <row r="12" spans="1:5" x14ac:dyDescent="0.25">
      <c r="A12" s="85"/>
      <c r="B12" s="85"/>
      <c r="C12" s="85"/>
      <c r="D12" s="85"/>
      <c r="E12" s="84"/>
    </row>
    <row r="13" spans="1:5" x14ac:dyDescent="0.25">
      <c r="A13" s="446"/>
      <c r="B13" s="446"/>
      <c r="C13" s="446"/>
      <c r="D13" s="446"/>
      <c r="E13" s="446"/>
    </row>
    <row r="14" spans="1:5" x14ac:dyDescent="0.25">
      <c r="A14" s="447"/>
      <c r="B14" s="447"/>
      <c r="C14" s="447"/>
      <c r="D14" s="86"/>
      <c r="E14" s="86"/>
    </row>
    <row r="15" spans="1:5" x14ac:dyDescent="0.25">
      <c r="A15" s="87"/>
      <c r="B15" s="87"/>
      <c r="C15" s="87"/>
      <c r="D15" s="87"/>
      <c r="E15" s="87"/>
    </row>
    <row r="16" spans="1:5" x14ac:dyDescent="0.25">
      <c r="A16" s="447"/>
      <c r="B16" s="447"/>
      <c r="C16" s="447"/>
      <c r="D16" s="447"/>
      <c r="E16" s="447"/>
    </row>
    <row r="17" spans="1:5" x14ac:dyDescent="0.25">
      <c r="A17" s="443"/>
      <c r="B17" s="443"/>
      <c r="C17" s="443"/>
      <c r="D17" s="443"/>
      <c r="E17" s="443"/>
    </row>
    <row r="18" spans="1:5" x14ac:dyDescent="0.25">
      <c r="A18" s="443"/>
      <c r="B18" s="443"/>
      <c r="C18" s="443"/>
      <c r="D18" s="443"/>
      <c r="E18" s="443"/>
    </row>
    <row r="19" spans="1:5" x14ac:dyDescent="0.25">
      <c r="A19" s="443"/>
      <c r="B19" s="443"/>
      <c r="C19" s="443"/>
      <c r="D19" s="443"/>
      <c r="E19" s="443"/>
    </row>
    <row r="20" spans="1:5" x14ac:dyDescent="0.25">
      <c r="A20" s="86"/>
      <c r="B20" s="86"/>
      <c r="C20" s="86"/>
      <c r="D20" s="86"/>
      <c r="E20" s="86"/>
    </row>
    <row r="21" spans="1:5" x14ac:dyDescent="0.25">
      <c r="A21" s="443"/>
      <c r="B21" s="443"/>
      <c r="C21" s="443"/>
      <c r="D21" s="443"/>
      <c r="E21" s="443"/>
    </row>
    <row r="22" spans="1:5" x14ac:dyDescent="0.25">
      <c r="A22" s="443"/>
      <c r="B22" s="443"/>
      <c r="C22" s="443"/>
      <c r="D22" s="443"/>
      <c r="E22" s="443"/>
    </row>
  </sheetData>
  <mergeCells count="14">
    <mergeCell ref="A1:E1"/>
    <mergeCell ref="A2:E2"/>
    <mergeCell ref="A3:A4"/>
    <mergeCell ref="B3:B4"/>
    <mergeCell ref="C3:C4"/>
    <mergeCell ref="D3:D4"/>
    <mergeCell ref="E3:E4"/>
    <mergeCell ref="A21:E22"/>
    <mergeCell ref="A10:D10"/>
    <mergeCell ref="A11:D11"/>
    <mergeCell ref="A13:E13"/>
    <mergeCell ref="A14:C14"/>
    <mergeCell ref="A16:E16"/>
    <mergeCell ref="A17:E19"/>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BEDE-D6D7-416B-86C4-F58296F733E2}">
  <dimension ref="A1:E17"/>
  <sheetViews>
    <sheetView workbookViewId="0">
      <selection activeCell="I17" sqref="I17"/>
    </sheetView>
  </sheetViews>
  <sheetFormatPr defaultRowHeight="15" x14ac:dyDescent="0.25"/>
  <cols>
    <col min="1" max="1" width="39.28515625" customWidth="1"/>
    <col min="2" max="2" width="12.140625" customWidth="1"/>
    <col min="3" max="3" width="9.7109375" customWidth="1"/>
    <col min="4" max="4" width="19.28515625" customWidth="1"/>
    <col min="5" max="5" width="20.140625" customWidth="1"/>
  </cols>
  <sheetData>
    <row r="1" spans="1:5" ht="20.25" thickBot="1" x14ac:dyDescent="0.3">
      <c r="A1" s="413" t="s">
        <v>297</v>
      </c>
      <c r="B1" s="414"/>
      <c r="C1" s="414"/>
      <c r="D1" s="414"/>
      <c r="E1" s="415"/>
    </row>
    <row r="2" spans="1:5" ht="19.5" x14ac:dyDescent="0.25">
      <c r="A2" s="418" t="s">
        <v>207</v>
      </c>
      <c r="B2" s="419"/>
      <c r="C2" s="419"/>
      <c r="D2" s="419"/>
      <c r="E2" s="420"/>
    </row>
    <row r="3" spans="1:5" x14ac:dyDescent="0.25">
      <c r="A3" s="429" t="s">
        <v>1</v>
      </c>
      <c r="B3" s="430" t="s">
        <v>152</v>
      </c>
      <c r="C3" s="430" t="s">
        <v>14</v>
      </c>
      <c r="D3" s="430" t="s">
        <v>161</v>
      </c>
      <c r="E3" s="431" t="s">
        <v>23</v>
      </c>
    </row>
    <row r="4" spans="1:5" x14ac:dyDescent="0.25">
      <c r="A4" s="429"/>
      <c r="B4" s="430"/>
      <c r="C4" s="430"/>
      <c r="D4" s="430"/>
      <c r="E4" s="431"/>
    </row>
    <row r="5" spans="1:5" x14ac:dyDescent="0.25">
      <c r="A5" s="73" t="s">
        <v>153</v>
      </c>
      <c r="B5" s="66" t="s">
        <v>152</v>
      </c>
      <c r="C5" s="66">
        <v>1</v>
      </c>
      <c r="D5" s="67">
        <v>30.76</v>
      </c>
      <c r="E5" s="74">
        <f>C5*D5</f>
        <v>30.76</v>
      </c>
    </row>
    <row r="6" spans="1:5" x14ac:dyDescent="0.25">
      <c r="A6" s="73" t="s">
        <v>167</v>
      </c>
      <c r="B6" s="66" t="s">
        <v>152</v>
      </c>
      <c r="C6" s="66">
        <v>1</v>
      </c>
      <c r="D6" s="67">
        <v>9.6999999999999993</v>
      </c>
      <c r="E6" s="74">
        <f t="shared" ref="E6:E15" si="0">C6*D6</f>
        <v>9.6999999999999993</v>
      </c>
    </row>
    <row r="7" spans="1:5" x14ac:dyDescent="0.25">
      <c r="A7" s="73" t="s">
        <v>159</v>
      </c>
      <c r="B7" s="66" t="s">
        <v>154</v>
      </c>
      <c r="C7" s="66">
        <v>1</v>
      </c>
      <c r="D7" s="67">
        <v>40.03</v>
      </c>
      <c r="E7" s="74">
        <f t="shared" si="0"/>
        <v>40.03</v>
      </c>
    </row>
    <row r="8" spans="1:5" ht="25.5" x14ac:dyDescent="0.25">
      <c r="A8" s="73" t="s">
        <v>155</v>
      </c>
      <c r="B8" s="66" t="s">
        <v>152</v>
      </c>
      <c r="C8" s="66">
        <v>4</v>
      </c>
      <c r="D8" s="67">
        <v>18.43</v>
      </c>
      <c r="E8" s="74">
        <f t="shared" si="0"/>
        <v>73.72</v>
      </c>
    </row>
    <row r="9" spans="1:5" ht="25.5" x14ac:dyDescent="0.25">
      <c r="A9" s="73" t="s">
        <v>156</v>
      </c>
      <c r="B9" s="66" t="s">
        <v>152</v>
      </c>
      <c r="C9" s="66">
        <v>4</v>
      </c>
      <c r="D9" s="67">
        <v>30.26</v>
      </c>
      <c r="E9" s="74">
        <f t="shared" si="0"/>
        <v>121.04</v>
      </c>
    </row>
    <row r="10" spans="1:5" x14ac:dyDescent="0.25">
      <c r="A10" s="73" t="s">
        <v>163</v>
      </c>
      <c r="B10" s="66" t="s">
        <v>152</v>
      </c>
      <c r="C10" s="66">
        <v>2</v>
      </c>
      <c r="D10" s="67">
        <v>28.86</v>
      </c>
      <c r="E10" s="74">
        <f t="shared" si="0"/>
        <v>57.72</v>
      </c>
    </row>
    <row r="11" spans="1:5" x14ac:dyDescent="0.25">
      <c r="A11" s="73" t="s">
        <v>174</v>
      </c>
      <c r="B11" s="66" t="s">
        <v>152</v>
      </c>
      <c r="C11" s="66">
        <v>1</v>
      </c>
      <c r="D11" s="67">
        <v>153.5</v>
      </c>
      <c r="E11" s="74">
        <f t="shared" si="0"/>
        <v>153.5</v>
      </c>
    </row>
    <row r="12" spans="1:5" x14ac:dyDescent="0.25">
      <c r="A12" s="73" t="s">
        <v>160</v>
      </c>
      <c r="B12" s="66" t="s">
        <v>154</v>
      </c>
      <c r="C12" s="66">
        <v>12</v>
      </c>
      <c r="D12" s="67">
        <v>4.3899999999999997</v>
      </c>
      <c r="E12" s="74">
        <f t="shared" si="0"/>
        <v>52.679999999999993</v>
      </c>
    </row>
    <row r="13" spans="1:5" x14ac:dyDescent="0.25">
      <c r="A13" s="73" t="s">
        <v>157</v>
      </c>
      <c r="B13" s="66" t="s">
        <v>154</v>
      </c>
      <c r="C13" s="66">
        <v>4</v>
      </c>
      <c r="D13" s="67">
        <v>2.76</v>
      </c>
      <c r="E13" s="74">
        <f t="shared" si="0"/>
        <v>11.04</v>
      </c>
    </row>
    <row r="14" spans="1:5" ht="25.5" x14ac:dyDescent="0.25">
      <c r="A14" s="73" t="s">
        <v>158</v>
      </c>
      <c r="B14" s="66" t="s">
        <v>154</v>
      </c>
      <c r="C14" s="66">
        <v>1</v>
      </c>
      <c r="D14" s="67">
        <v>90.76</v>
      </c>
      <c r="E14" s="74">
        <f t="shared" si="0"/>
        <v>90.76</v>
      </c>
    </row>
    <row r="15" spans="1:5" x14ac:dyDescent="0.25">
      <c r="A15" s="73" t="s">
        <v>162</v>
      </c>
      <c r="B15" s="66" t="s">
        <v>152</v>
      </c>
      <c r="C15" s="66">
        <v>360</v>
      </c>
      <c r="D15" s="67">
        <v>0.16</v>
      </c>
      <c r="E15" s="74">
        <f t="shared" si="0"/>
        <v>57.6</v>
      </c>
    </row>
    <row r="16" spans="1:5" x14ac:dyDescent="0.25">
      <c r="A16" s="426" t="s">
        <v>23</v>
      </c>
      <c r="B16" s="427"/>
      <c r="C16" s="427"/>
      <c r="D16" s="427"/>
      <c r="E16" s="93">
        <f>SUM(E5:E15)</f>
        <v>698.55</v>
      </c>
    </row>
    <row r="17" spans="1:5" ht="15.75" thickBot="1" x14ac:dyDescent="0.3">
      <c r="A17" s="416" t="s">
        <v>165</v>
      </c>
      <c r="B17" s="417"/>
      <c r="C17" s="417"/>
      <c r="D17" s="417"/>
      <c r="E17" s="94">
        <f>E16/12</f>
        <v>58.212499999999999</v>
      </c>
    </row>
  </sheetData>
  <mergeCells count="9">
    <mergeCell ref="A16:D16"/>
    <mergeCell ref="A17:D17"/>
    <mergeCell ref="A1:E1"/>
    <mergeCell ref="A2:E2"/>
    <mergeCell ref="A3:A4"/>
    <mergeCell ref="B3:B4"/>
    <mergeCell ref="C3:C4"/>
    <mergeCell ref="D3:D4"/>
    <mergeCell ref="E3:E4"/>
  </mergeCells>
  <printOptions horizontalCentered="1"/>
  <pageMargins left="0.23622047244094491" right="0.23622047244094491" top="0.74803149606299213" bottom="0.74803149606299213" header="0.31496062992125984" footer="0.31496062992125984"/>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Normal="100" workbookViewId="0">
      <pane ySplit="1" topLeftCell="A2" activePane="bottomLeft" state="frozen"/>
      <selection pane="bottomLeft" activeCell="L10" sqref="L10"/>
    </sheetView>
  </sheetViews>
  <sheetFormatPr defaultRowHeight="18" customHeight="1" x14ac:dyDescent="0.25"/>
  <cols>
    <col min="1" max="1" width="5.42578125" style="51" customWidth="1"/>
    <col min="2" max="2" width="26.85546875" style="51" customWidth="1"/>
    <col min="3" max="3" width="8.28515625" style="51" customWidth="1"/>
    <col min="4" max="4" width="8.140625" style="51" customWidth="1"/>
    <col min="5" max="5" width="17.85546875" style="53" customWidth="1"/>
    <col min="6" max="6" width="14.7109375" style="51" customWidth="1"/>
    <col min="7" max="7" width="10.140625" style="51" customWidth="1"/>
    <col min="8" max="8" width="13.140625" style="51" customWidth="1"/>
    <col min="9" max="10" width="14.140625" style="51" customWidth="1"/>
    <col min="11" max="11" width="13.42578125" style="51" customWidth="1"/>
    <col min="12" max="12" width="10.140625" style="51" customWidth="1"/>
    <col min="13" max="13" width="17.85546875" style="51" customWidth="1"/>
    <col min="14" max="14" width="14.7109375" style="51" customWidth="1"/>
    <col min="15" max="15" width="13.140625" style="51" customWidth="1"/>
    <col min="16" max="16" width="14.140625" style="51" customWidth="1"/>
    <col min="17" max="17" width="12.85546875" style="51" customWidth="1"/>
    <col min="18" max="18" width="14.140625" style="51" customWidth="1"/>
    <col min="19" max="16384" width="9.140625" style="51"/>
  </cols>
  <sheetData>
    <row r="1" spans="1:10" s="47" customFormat="1" ht="18" customHeight="1" thickTop="1" thickBot="1" x14ac:dyDescent="0.3">
      <c r="A1" s="42" t="s">
        <v>0</v>
      </c>
      <c r="B1" s="41" t="s">
        <v>1</v>
      </c>
      <c r="C1" s="43" t="s">
        <v>2</v>
      </c>
      <c r="D1" s="44" t="s">
        <v>14</v>
      </c>
      <c r="E1" s="45" t="s">
        <v>13</v>
      </c>
      <c r="F1" s="35" t="s">
        <v>17</v>
      </c>
      <c r="G1" s="35" t="s">
        <v>18</v>
      </c>
      <c r="H1" s="35" t="s">
        <v>24</v>
      </c>
      <c r="I1" s="35" t="s">
        <v>19</v>
      </c>
      <c r="J1" s="35" t="s">
        <v>20</v>
      </c>
    </row>
    <row r="2" spans="1:10" ht="18" customHeight="1" thickTop="1" thickBot="1" x14ac:dyDescent="0.3">
      <c r="A2" s="48">
        <v>1</v>
      </c>
      <c r="B2" s="59" t="s">
        <v>3</v>
      </c>
      <c r="C2" s="49">
        <v>13942</v>
      </c>
      <c r="D2" s="50" t="s">
        <v>15</v>
      </c>
      <c r="E2" s="55">
        <v>39.5</v>
      </c>
      <c r="F2" s="56">
        <v>45</v>
      </c>
      <c r="G2" s="56">
        <v>60</v>
      </c>
      <c r="H2" s="56">
        <v>40</v>
      </c>
      <c r="I2" s="56"/>
      <c r="J2" s="56">
        <v>55</v>
      </c>
    </row>
    <row r="3" spans="1:10" ht="18" customHeight="1" thickTop="1" thickBot="1" x14ac:dyDescent="0.3">
      <c r="A3" s="48">
        <v>2</v>
      </c>
      <c r="B3" s="59" t="s">
        <v>4</v>
      </c>
      <c r="C3" s="49">
        <v>7948</v>
      </c>
      <c r="D3" s="52" t="s">
        <v>16</v>
      </c>
      <c r="E3" s="55">
        <v>51.03</v>
      </c>
      <c r="F3" s="56">
        <v>65</v>
      </c>
      <c r="G3" s="56">
        <v>80</v>
      </c>
      <c r="H3" s="56">
        <v>80</v>
      </c>
      <c r="I3" s="56"/>
      <c r="J3" s="56">
        <v>60</v>
      </c>
    </row>
    <row r="4" spans="1:10" ht="18" customHeight="1" thickTop="1" thickBot="1" x14ac:dyDescent="0.3">
      <c r="A4" s="48">
        <v>3</v>
      </c>
      <c r="B4" s="59" t="s">
        <v>5</v>
      </c>
      <c r="C4" s="49">
        <v>13949</v>
      </c>
      <c r="D4" s="52" t="s">
        <v>15</v>
      </c>
      <c r="E4" s="55">
        <v>56.25</v>
      </c>
      <c r="F4" s="56">
        <v>85</v>
      </c>
      <c r="G4" s="56">
        <v>96</v>
      </c>
      <c r="H4" s="56">
        <v>250</v>
      </c>
      <c r="I4" s="56"/>
      <c r="J4" s="56">
        <v>100</v>
      </c>
    </row>
    <row r="5" spans="1:10" ht="18" customHeight="1" thickTop="1" thickBot="1" x14ac:dyDescent="0.3">
      <c r="A5" s="48">
        <v>4</v>
      </c>
      <c r="B5" s="59" t="s">
        <v>6</v>
      </c>
      <c r="C5" s="49">
        <v>13941</v>
      </c>
      <c r="D5" s="50" t="s">
        <v>15</v>
      </c>
      <c r="E5" s="55">
        <v>86.9</v>
      </c>
      <c r="F5" s="56">
        <v>60</v>
      </c>
      <c r="G5" s="56">
        <v>58</v>
      </c>
      <c r="H5" s="56">
        <v>250</v>
      </c>
      <c r="I5" s="56"/>
      <c r="J5" s="56">
        <v>60</v>
      </c>
    </row>
    <row r="6" spans="1:10" ht="18" customHeight="1" thickTop="1" thickBot="1" x14ac:dyDescent="0.3">
      <c r="A6" s="48">
        <v>5</v>
      </c>
      <c r="B6" s="59" t="s">
        <v>7</v>
      </c>
      <c r="C6" s="49">
        <v>7949</v>
      </c>
      <c r="D6" s="50" t="s">
        <v>16</v>
      </c>
      <c r="E6" s="55">
        <v>45.77</v>
      </c>
      <c r="F6" s="56">
        <v>52.5</v>
      </c>
      <c r="G6" s="56">
        <v>80</v>
      </c>
      <c r="H6" s="56">
        <v>100</v>
      </c>
      <c r="I6" s="56">
        <v>96</v>
      </c>
      <c r="J6" s="56">
        <v>70</v>
      </c>
    </row>
    <row r="7" spans="1:10" ht="18" customHeight="1" thickTop="1" thickBot="1" x14ac:dyDescent="0.3">
      <c r="A7" s="48">
        <v>6</v>
      </c>
      <c r="B7" s="59" t="s">
        <v>8</v>
      </c>
      <c r="C7" s="49">
        <v>13943</v>
      </c>
      <c r="D7" s="52" t="s">
        <v>16</v>
      </c>
      <c r="E7" s="55">
        <v>119.7</v>
      </c>
      <c r="F7" s="56">
        <v>90</v>
      </c>
      <c r="G7" s="56">
        <v>145</v>
      </c>
      <c r="H7" s="56">
        <v>150</v>
      </c>
      <c r="I7" s="56">
        <v>187</v>
      </c>
      <c r="J7" s="56">
        <v>120</v>
      </c>
    </row>
    <row r="8" spans="1:10" ht="18" customHeight="1" thickTop="1" thickBot="1" x14ac:dyDescent="0.3">
      <c r="A8" s="48">
        <v>7</v>
      </c>
      <c r="B8" s="59" t="s">
        <v>9</v>
      </c>
      <c r="C8" s="49">
        <v>72481</v>
      </c>
      <c r="D8" s="50" t="s">
        <v>15</v>
      </c>
      <c r="E8" s="55"/>
      <c r="F8" s="56">
        <v>70</v>
      </c>
      <c r="G8" s="56">
        <v>45</v>
      </c>
      <c r="H8" s="56">
        <v>250</v>
      </c>
      <c r="I8" s="56"/>
      <c r="J8" s="56">
        <v>70</v>
      </c>
    </row>
    <row r="9" spans="1:10" ht="18" customHeight="1" thickTop="1" thickBot="1" x14ac:dyDescent="0.3">
      <c r="A9" s="48">
        <v>8</v>
      </c>
      <c r="B9" s="59" t="s">
        <v>10</v>
      </c>
      <c r="C9" s="49">
        <v>94068</v>
      </c>
      <c r="D9" s="50" t="s">
        <v>16</v>
      </c>
      <c r="E9" s="55">
        <v>530</v>
      </c>
      <c r="F9" s="56">
        <v>295</v>
      </c>
      <c r="G9" s="56">
        <v>355</v>
      </c>
      <c r="H9" s="56"/>
      <c r="I9" s="56"/>
      <c r="J9" s="56">
        <v>410</v>
      </c>
    </row>
    <row r="10" spans="1:10" ht="18" customHeight="1" thickTop="1" thickBot="1" x14ac:dyDescent="0.3">
      <c r="A10" s="48">
        <v>9</v>
      </c>
      <c r="B10" s="59" t="s">
        <v>11</v>
      </c>
      <c r="C10" s="49">
        <v>94069</v>
      </c>
      <c r="D10" s="50" t="s">
        <v>16</v>
      </c>
      <c r="E10" s="55">
        <v>597.5</v>
      </c>
      <c r="F10" s="56"/>
      <c r="G10" s="56">
        <v>445</v>
      </c>
      <c r="H10" s="56"/>
      <c r="I10" s="56"/>
      <c r="J10" s="56">
        <v>480</v>
      </c>
    </row>
    <row r="11" spans="1:10" ht="18" customHeight="1" thickTop="1" thickBot="1" x14ac:dyDescent="0.3">
      <c r="A11" s="48">
        <v>10</v>
      </c>
      <c r="B11" s="59" t="s">
        <v>12</v>
      </c>
      <c r="C11" s="49">
        <v>7946</v>
      </c>
      <c r="D11" s="50" t="s">
        <v>15</v>
      </c>
      <c r="E11" s="57"/>
      <c r="F11" s="58">
        <v>70</v>
      </c>
      <c r="G11" s="58">
        <v>60</v>
      </c>
      <c r="H11" s="58">
        <v>250</v>
      </c>
      <c r="I11" s="58"/>
      <c r="J11" s="58">
        <v>70</v>
      </c>
    </row>
    <row r="12" spans="1:10" ht="18" customHeight="1" thickTop="1" thickBot="1" x14ac:dyDescent="0.3">
      <c r="A12" s="48">
        <v>11</v>
      </c>
      <c r="B12" s="60" t="s">
        <v>28</v>
      </c>
      <c r="C12" s="36">
        <v>107242</v>
      </c>
      <c r="D12" s="50" t="s">
        <v>15</v>
      </c>
      <c r="E12" s="57"/>
      <c r="F12" s="58">
        <v>35</v>
      </c>
      <c r="G12" s="58">
        <v>34</v>
      </c>
      <c r="H12" s="58"/>
      <c r="I12" s="58"/>
      <c r="J12" s="58"/>
    </row>
    <row r="13" spans="1:10" ht="18" customHeight="1" thickTop="1" thickBot="1" x14ac:dyDescent="0.3">
      <c r="B13" s="53"/>
    </row>
    <row r="14" spans="1:10" ht="18" customHeight="1" thickTop="1" thickBot="1" x14ac:dyDescent="0.3">
      <c r="A14" s="42" t="s">
        <v>0</v>
      </c>
      <c r="B14" s="61" t="s">
        <v>1</v>
      </c>
      <c r="C14" s="43" t="s">
        <v>2</v>
      </c>
      <c r="D14" s="44" t="s">
        <v>14</v>
      </c>
      <c r="E14" s="35" t="s">
        <v>26</v>
      </c>
      <c r="F14" s="35" t="s">
        <v>22</v>
      </c>
      <c r="G14" s="35" t="s">
        <v>21</v>
      </c>
      <c r="H14" s="34" t="s">
        <v>23</v>
      </c>
      <c r="I14" s="46" t="s">
        <v>27</v>
      </c>
    </row>
    <row r="15" spans="1:10" ht="18" customHeight="1" thickTop="1" thickBot="1" x14ac:dyDescent="0.3">
      <c r="A15" s="48">
        <v>1</v>
      </c>
      <c r="B15" s="59" t="s">
        <v>3</v>
      </c>
      <c r="C15" s="49">
        <v>13942</v>
      </c>
      <c r="D15" s="50" t="s">
        <v>15</v>
      </c>
      <c r="E15" s="56"/>
      <c r="F15" s="56"/>
      <c r="G15" s="56">
        <v>60</v>
      </c>
      <c r="H15" s="37">
        <v>299.5</v>
      </c>
      <c r="I15" s="38">
        <v>49.92</v>
      </c>
    </row>
    <row r="16" spans="1:10" ht="18" customHeight="1" thickTop="1" thickBot="1" x14ac:dyDescent="0.3">
      <c r="A16" s="48">
        <v>2</v>
      </c>
      <c r="B16" s="59" t="s">
        <v>4</v>
      </c>
      <c r="C16" s="49">
        <v>7948</v>
      </c>
      <c r="D16" s="52" t="s">
        <v>16</v>
      </c>
      <c r="E16" s="56"/>
      <c r="F16" s="56">
        <v>60</v>
      </c>
      <c r="G16" s="56">
        <v>76.8</v>
      </c>
      <c r="H16" s="37">
        <v>472.83</v>
      </c>
      <c r="I16" s="38">
        <v>67.55</v>
      </c>
    </row>
    <row r="17" spans="1:14" ht="18" customHeight="1" thickTop="1" thickBot="1" x14ac:dyDescent="0.3">
      <c r="A17" s="48">
        <v>3</v>
      </c>
      <c r="B17" s="59" t="s">
        <v>5</v>
      </c>
      <c r="C17" s="49">
        <v>13949</v>
      </c>
      <c r="D17" s="52" t="s">
        <v>15</v>
      </c>
      <c r="E17" s="56"/>
      <c r="F17" s="56">
        <v>55</v>
      </c>
      <c r="G17" s="56">
        <v>140</v>
      </c>
      <c r="H17" s="37">
        <v>782.25</v>
      </c>
      <c r="I17" s="38">
        <v>111.75</v>
      </c>
    </row>
    <row r="18" spans="1:14" ht="18" customHeight="1" thickTop="1" thickBot="1" x14ac:dyDescent="0.3">
      <c r="A18" s="48">
        <v>4</v>
      </c>
      <c r="B18" s="59" t="s">
        <v>6</v>
      </c>
      <c r="C18" s="49">
        <v>13941</v>
      </c>
      <c r="D18" s="50" t="s">
        <v>15</v>
      </c>
      <c r="E18" s="56"/>
      <c r="F18" s="56">
        <v>70</v>
      </c>
      <c r="G18" s="56">
        <v>120</v>
      </c>
      <c r="H18" s="37">
        <v>704.9</v>
      </c>
      <c r="I18" s="38">
        <v>100.7</v>
      </c>
    </row>
    <row r="19" spans="1:14" ht="18" customHeight="1" thickTop="1" thickBot="1" x14ac:dyDescent="0.3">
      <c r="A19" s="48">
        <v>5</v>
      </c>
      <c r="B19" s="59" t="s">
        <v>7</v>
      </c>
      <c r="C19" s="49">
        <v>7949</v>
      </c>
      <c r="D19" s="50" t="s">
        <v>16</v>
      </c>
      <c r="E19" s="56"/>
      <c r="F19" s="56">
        <v>82.5</v>
      </c>
      <c r="G19" s="56">
        <v>105</v>
      </c>
      <c r="H19" s="37">
        <v>631.77</v>
      </c>
      <c r="I19" s="38">
        <v>78.97</v>
      </c>
    </row>
    <row r="20" spans="1:14" ht="18" customHeight="1" thickTop="1" thickBot="1" x14ac:dyDescent="0.3">
      <c r="A20" s="48">
        <v>6</v>
      </c>
      <c r="B20" s="59" t="s">
        <v>8</v>
      </c>
      <c r="C20" s="49">
        <v>13943</v>
      </c>
      <c r="D20" s="52" t="s">
        <v>16</v>
      </c>
      <c r="E20" s="56"/>
      <c r="F20" s="56">
        <v>135</v>
      </c>
      <c r="G20" s="56">
        <v>150</v>
      </c>
      <c r="H20" s="37">
        <v>1096.7</v>
      </c>
      <c r="I20" s="38">
        <v>137.09</v>
      </c>
      <c r="N20" s="54"/>
    </row>
    <row r="21" spans="1:14" ht="18" customHeight="1" thickTop="1" thickBot="1" x14ac:dyDescent="0.3">
      <c r="A21" s="48">
        <v>7</v>
      </c>
      <c r="B21" s="59" t="s">
        <v>9</v>
      </c>
      <c r="C21" s="49">
        <v>72481</v>
      </c>
      <c r="D21" s="50" t="s">
        <v>15</v>
      </c>
      <c r="E21" s="56">
        <v>45</v>
      </c>
      <c r="F21" s="56">
        <v>150</v>
      </c>
      <c r="G21" s="56"/>
      <c r="H21" s="37">
        <v>630</v>
      </c>
      <c r="I21" s="38">
        <v>105</v>
      </c>
    </row>
    <row r="22" spans="1:14" ht="18" customHeight="1" thickTop="1" thickBot="1" x14ac:dyDescent="0.3">
      <c r="A22" s="48">
        <v>8</v>
      </c>
      <c r="B22" s="59" t="s">
        <v>10</v>
      </c>
      <c r="C22" s="49">
        <v>94068</v>
      </c>
      <c r="D22" s="50" t="s">
        <v>16</v>
      </c>
      <c r="E22" s="56"/>
      <c r="F22" s="56"/>
      <c r="G22" s="56"/>
      <c r="H22" s="37">
        <v>1590</v>
      </c>
      <c r="I22" s="38">
        <v>397.5</v>
      </c>
      <c r="N22" s="54"/>
    </row>
    <row r="23" spans="1:14" ht="18" customHeight="1" thickTop="1" thickBot="1" x14ac:dyDescent="0.3">
      <c r="A23" s="48">
        <v>9</v>
      </c>
      <c r="B23" s="59" t="s">
        <v>11</v>
      </c>
      <c r="C23" s="49">
        <v>94069</v>
      </c>
      <c r="D23" s="50" t="s">
        <v>16</v>
      </c>
      <c r="E23" s="56"/>
      <c r="F23" s="56"/>
      <c r="G23" s="56"/>
      <c r="H23" s="37">
        <v>1522.5</v>
      </c>
      <c r="I23" s="38">
        <v>507.5</v>
      </c>
      <c r="N23" s="54"/>
    </row>
    <row r="24" spans="1:14" ht="18" customHeight="1" thickTop="1" thickBot="1" x14ac:dyDescent="0.3">
      <c r="A24" s="48">
        <v>10</v>
      </c>
      <c r="B24" s="59" t="s">
        <v>12</v>
      </c>
      <c r="C24" s="49">
        <v>7946</v>
      </c>
      <c r="D24" s="50" t="s">
        <v>15</v>
      </c>
      <c r="E24" s="58"/>
      <c r="F24" s="58"/>
      <c r="G24" s="58"/>
      <c r="H24" s="39">
        <v>450</v>
      </c>
      <c r="I24" s="40">
        <v>112.5</v>
      </c>
      <c r="N24" s="54"/>
    </row>
    <row r="25" spans="1:14" ht="18" customHeight="1" thickTop="1" thickBot="1" x14ac:dyDescent="0.3">
      <c r="A25" s="48">
        <v>11</v>
      </c>
      <c r="B25" s="60" t="s">
        <v>28</v>
      </c>
      <c r="C25" s="36">
        <v>107242</v>
      </c>
      <c r="D25" s="50" t="s">
        <v>15</v>
      </c>
      <c r="E25" s="58"/>
      <c r="F25" s="58">
        <v>30</v>
      </c>
      <c r="G25" s="58"/>
      <c r="H25" s="39">
        <v>99</v>
      </c>
      <c r="I25" s="40">
        <v>33</v>
      </c>
    </row>
    <row r="26" spans="1:14" ht="18" customHeight="1" thickTop="1" thickBot="1" x14ac:dyDescent="0.3"/>
    <row r="27" spans="1:14" ht="18" customHeight="1" thickBot="1" x14ac:dyDescent="0.3">
      <c r="A27" s="454" t="s">
        <v>29</v>
      </c>
      <c r="B27" s="455"/>
      <c r="C27" s="455"/>
      <c r="D27" s="455"/>
      <c r="E27" s="455"/>
      <c r="F27" s="455"/>
      <c r="G27" s="455"/>
      <c r="H27" s="455"/>
      <c r="I27" s="456"/>
    </row>
  </sheetData>
  <mergeCells count="1">
    <mergeCell ref="A27:I27"/>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4A8C8-F1E3-4C37-919E-EF60D59FEDDE}">
  <sheetPr>
    <pageSetUpPr fitToPage="1"/>
  </sheetPr>
  <dimension ref="A1:D138"/>
  <sheetViews>
    <sheetView workbookViewId="0">
      <selection activeCell="D4" sqref="D4"/>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ht="12.75" customHeight="1" x14ac:dyDescent="0.2">
      <c r="A7" s="108" t="s">
        <v>33</v>
      </c>
      <c r="B7" s="302" t="s">
        <v>34</v>
      </c>
      <c r="C7" s="303"/>
      <c r="D7" s="109"/>
    </row>
    <row r="8" spans="1:4" x14ac:dyDescent="0.2">
      <c r="A8" s="110" t="s">
        <v>35</v>
      </c>
      <c r="B8" s="310" t="s">
        <v>36</v>
      </c>
      <c r="C8" s="311"/>
      <c r="D8" s="111" t="s">
        <v>37</v>
      </c>
    </row>
    <row r="9" spans="1:4" x14ac:dyDescent="0.2">
      <c r="A9" s="112" t="s">
        <v>42</v>
      </c>
      <c r="B9" s="273" t="s">
        <v>45</v>
      </c>
      <c r="C9" s="275"/>
      <c r="D9" s="111" t="s">
        <v>46</v>
      </c>
    </row>
    <row r="10" spans="1:4" x14ac:dyDescent="0.2">
      <c r="A10" s="273"/>
      <c r="B10" s="274"/>
      <c r="C10" s="274"/>
      <c r="D10" s="275"/>
    </row>
    <row r="11" spans="1:4" ht="13.5" thickBot="1" x14ac:dyDescent="0.25">
      <c r="A11" s="276" t="s">
        <v>47</v>
      </c>
      <c r="B11" s="276"/>
      <c r="C11" s="276"/>
      <c r="D11" s="276"/>
    </row>
    <row r="12" spans="1:4" x14ac:dyDescent="0.2">
      <c r="A12" s="277" t="s">
        <v>48</v>
      </c>
      <c r="B12" s="277"/>
      <c r="C12" s="277"/>
      <c r="D12" s="112" t="s">
        <v>268</v>
      </c>
    </row>
    <row r="13" spans="1:4" x14ac:dyDescent="0.2">
      <c r="A13" s="277" t="s">
        <v>150</v>
      </c>
      <c r="B13" s="277"/>
      <c r="C13" s="277"/>
      <c r="D13" s="111" t="s">
        <v>208</v>
      </c>
    </row>
    <row r="14" spans="1:4" x14ac:dyDescent="0.2">
      <c r="A14" s="274"/>
      <c r="B14" s="274"/>
      <c r="C14" s="274"/>
      <c r="D14" s="275"/>
    </row>
    <row r="15" spans="1:4" ht="13.5" thickBot="1" x14ac:dyDescent="0.25">
      <c r="A15" s="276" t="s">
        <v>49</v>
      </c>
      <c r="B15" s="276"/>
      <c r="C15" s="276"/>
      <c r="D15" s="276"/>
    </row>
    <row r="16" spans="1:4" x14ac:dyDescent="0.2">
      <c r="A16" s="110">
        <v>3</v>
      </c>
      <c r="B16" s="278" t="s">
        <v>270</v>
      </c>
      <c r="C16" s="279"/>
      <c r="D16" s="113">
        <v>117857.04</v>
      </c>
    </row>
    <row r="17" spans="1:4" x14ac:dyDescent="0.2">
      <c r="A17" s="112">
        <v>4</v>
      </c>
      <c r="B17" s="277" t="s">
        <v>51</v>
      </c>
      <c r="C17" s="277"/>
      <c r="D17" s="112" t="s">
        <v>269</v>
      </c>
    </row>
    <row r="18" spans="1:4" x14ac:dyDescent="0.2">
      <c r="A18" s="112">
        <v>6</v>
      </c>
      <c r="B18" s="277" t="s">
        <v>52</v>
      </c>
      <c r="C18" s="277"/>
      <c r="D18" s="113">
        <v>1518</v>
      </c>
    </row>
    <row r="19" spans="1:4" ht="13.5" thickBot="1" x14ac:dyDescent="0.25">
      <c r="A19" s="62"/>
      <c r="B19" s="62"/>
      <c r="C19" s="62"/>
      <c r="D19" s="62"/>
    </row>
    <row r="20" spans="1:4" ht="13.5" thickBot="1" x14ac:dyDescent="0.25">
      <c r="A20" s="280" t="s">
        <v>53</v>
      </c>
      <c r="B20" s="280"/>
      <c r="C20" s="280"/>
      <c r="D20" s="280"/>
    </row>
    <row r="21" spans="1:4" x14ac:dyDescent="0.2">
      <c r="A21" s="114">
        <v>1</v>
      </c>
      <c r="B21" s="284" t="s">
        <v>55</v>
      </c>
      <c r="C21" s="284"/>
      <c r="D21" s="114" t="s">
        <v>56</v>
      </c>
    </row>
    <row r="22" spans="1:4" x14ac:dyDescent="0.2">
      <c r="A22" s="110" t="s">
        <v>33</v>
      </c>
      <c r="B22" s="110" t="s">
        <v>195</v>
      </c>
      <c r="C22" s="110"/>
      <c r="D22" s="116">
        <f>D16</f>
        <v>117857.04</v>
      </c>
    </row>
    <row r="23" spans="1:4" x14ac:dyDescent="0.2">
      <c r="A23" s="110" t="s">
        <v>35</v>
      </c>
      <c r="B23" s="110" t="s">
        <v>182</v>
      </c>
      <c r="C23" s="110"/>
      <c r="D23" s="116">
        <v>0</v>
      </c>
    </row>
    <row r="24" spans="1:4" x14ac:dyDescent="0.2">
      <c r="A24" s="110" t="s">
        <v>57</v>
      </c>
      <c r="B24" s="110" t="s">
        <v>229</v>
      </c>
      <c r="C24" s="116">
        <v>0</v>
      </c>
      <c r="D24" s="116">
        <f>(C24)*9/24</f>
        <v>0</v>
      </c>
    </row>
    <row r="25" spans="1:4" x14ac:dyDescent="0.2">
      <c r="A25" s="110" t="s">
        <v>41</v>
      </c>
      <c r="B25" s="110" t="s">
        <v>209</v>
      </c>
      <c r="C25" s="116">
        <v>0</v>
      </c>
      <c r="D25" s="116">
        <f>(C25)*1.2/24</f>
        <v>0</v>
      </c>
    </row>
    <row r="26" spans="1:4" x14ac:dyDescent="0.2">
      <c r="A26" s="281" t="s">
        <v>58</v>
      </c>
      <c r="B26" s="282"/>
      <c r="C26" s="283"/>
      <c r="D26" s="117">
        <f>SUM(D22:D25)</f>
        <v>117857.04</v>
      </c>
    </row>
    <row r="27" spans="1:4" ht="13.5" thickBot="1" x14ac:dyDescent="0.25">
      <c r="A27" s="62" t="s">
        <v>54</v>
      </c>
      <c r="B27" s="62"/>
      <c r="C27" s="62"/>
      <c r="D27" s="62"/>
    </row>
    <row r="28" spans="1:4" ht="13.5" thickBot="1" x14ac:dyDescent="0.25">
      <c r="A28" s="280" t="s">
        <v>59</v>
      </c>
      <c r="B28" s="280"/>
      <c r="C28" s="280"/>
      <c r="D28" s="280"/>
    </row>
    <row r="29" spans="1:4" x14ac:dyDescent="0.2">
      <c r="A29" s="312" t="s">
        <v>60</v>
      </c>
      <c r="B29" s="312"/>
      <c r="C29" s="312"/>
      <c r="D29" s="312"/>
    </row>
    <row r="30" spans="1:4" x14ac:dyDescent="0.2">
      <c r="A30" s="114" t="s">
        <v>61</v>
      </c>
      <c r="B30" s="284" t="s">
        <v>62</v>
      </c>
      <c r="C30" s="284"/>
      <c r="D30" s="114" t="s">
        <v>56</v>
      </c>
    </row>
    <row r="31" spans="1:4" x14ac:dyDescent="0.2">
      <c r="A31" s="111" t="s">
        <v>33</v>
      </c>
      <c r="B31" s="111" t="s">
        <v>63</v>
      </c>
      <c r="C31" s="118">
        <v>8.3299999999999999E-2</v>
      </c>
      <c r="D31" s="119">
        <v>0</v>
      </c>
    </row>
    <row r="32" spans="1:4" x14ac:dyDescent="0.2">
      <c r="A32" s="111" t="s">
        <v>35</v>
      </c>
      <c r="B32" s="111" t="s">
        <v>64</v>
      </c>
      <c r="C32" s="118">
        <v>2.7799999999999998E-2</v>
      </c>
      <c r="D32" s="119">
        <v>0</v>
      </c>
    </row>
    <row r="33" spans="1:4" x14ac:dyDescent="0.2">
      <c r="A33" s="305" t="s">
        <v>131</v>
      </c>
      <c r="B33" s="306"/>
      <c r="C33" s="120">
        <f>SUM(C31+C32)</f>
        <v>0.1111</v>
      </c>
      <c r="D33" s="121">
        <v>0</v>
      </c>
    </row>
    <row r="34" spans="1:4" x14ac:dyDescent="0.2">
      <c r="A34" s="313" t="s">
        <v>130</v>
      </c>
      <c r="B34" s="293"/>
      <c r="C34" s="123">
        <f>SUM(C39:C46)</f>
        <v>0.36800000000000005</v>
      </c>
      <c r="D34" s="119">
        <f>SUM(D33*C34)</f>
        <v>0</v>
      </c>
    </row>
    <row r="35" spans="1:4" x14ac:dyDescent="0.2">
      <c r="A35" s="307" t="s">
        <v>58</v>
      </c>
      <c r="B35" s="308"/>
      <c r="C35" s="309"/>
      <c r="D35" s="124">
        <f>SUM(D33+D34)</f>
        <v>0</v>
      </c>
    </row>
    <row r="36" spans="1:4" x14ac:dyDescent="0.2">
      <c r="A36" s="304"/>
      <c r="B36" s="304"/>
      <c r="C36" s="304"/>
      <c r="D36" s="304"/>
    </row>
    <row r="37" spans="1:4" x14ac:dyDescent="0.2">
      <c r="A37" s="296" t="s">
        <v>65</v>
      </c>
      <c r="B37" s="296"/>
      <c r="C37" s="296"/>
      <c r="D37" s="296"/>
    </row>
    <row r="38" spans="1:4" x14ac:dyDescent="0.2">
      <c r="A38" s="126" t="s">
        <v>66</v>
      </c>
      <c r="B38" s="126" t="s">
        <v>67</v>
      </c>
      <c r="C38" s="126" t="s">
        <v>68</v>
      </c>
      <c r="D38" s="126" t="s">
        <v>56</v>
      </c>
    </row>
    <row r="39" spans="1:4" x14ac:dyDescent="0.2">
      <c r="A39" s="127" t="s">
        <v>33</v>
      </c>
      <c r="B39" s="127" t="s">
        <v>69</v>
      </c>
      <c r="C39" s="123">
        <v>0.2</v>
      </c>
      <c r="D39" s="116">
        <v>0</v>
      </c>
    </row>
    <row r="40" spans="1:4" x14ac:dyDescent="0.2">
      <c r="A40" s="127" t="s">
        <v>35</v>
      </c>
      <c r="B40" s="127" t="s">
        <v>70</v>
      </c>
      <c r="C40" s="123">
        <v>2.5000000000000001E-2</v>
      </c>
      <c r="D40" s="116">
        <v>0</v>
      </c>
    </row>
    <row r="41" spans="1:4" x14ac:dyDescent="0.2">
      <c r="A41" s="127" t="s">
        <v>38</v>
      </c>
      <c r="B41" s="128" t="s">
        <v>71</v>
      </c>
      <c r="C41" s="129">
        <v>0.03</v>
      </c>
      <c r="D41" s="116">
        <v>0</v>
      </c>
    </row>
    <row r="42" spans="1:4" x14ac:dyDescent="0.2">
      <c r="A42" s="127" t="s">
        <v>57</v>
      </c>
      <c r="B42" s="127" t="s">
        <v>72</v>
      </c>
      <c r="C42" s="123">
        <v>1.4999999999999999E-2</v>
      </c>
      <c r="D42" s="116">
        <v>0</v>
      </c>
    </row>
    <row r="43" spans="1:4" x14ac:dyDescent="0.2">
      <c r="A43" s="127" t="s">
        <v>41</v>
      </c>
      <c r="B43" s="127" t="s">
        <v>73</v>
      </c>
      <c r="C43" s="123">
        <v>0.01</v>
      </c>
      <c r="D43" s="116">
        <v>0</v>
      </c>
    </row>
    <row r="44" spans="1:4" x14ac:dyDescent="0.2">
      <c r="A44" s="127" t="s">
        <v>42</v>
      </c>
      <c r="B44" s="127" t="s">
        <v>74</v>
      </c>
      <c r="C44" s="123">
        <v>6.0000000000000001E-3</v>
      </c>
      <c r="D44" s="116">
        <v>0</v>
      </c>
    </row>
    <row r="45" spans="1:4" x14ac:dyDescent="0.2">
      <c r="A45" s="127" t="s">
        <v>43</v>
      </c>
      <c r="B45" s="127" t="s">
        <v>75</v>
      </c>
      <c r="C45" s="123">
        <v>2E-3</v>
      </c>
      <c r="D45" s="116">
        <v>0</v>
      </c>
    </row>
    <row r="46" spans="1:4" x14ac:dyDescent="0.2">
      <c r="A46" s="127" t="s">
        <v>44</v>
      </c>
      <c r="B46" s="127" t="s">
        <v>76</v>
      </c>
      <c r="C46" s="123">
        <v>0.08</v>
      </c>
      <c r="D46" s="116">
        <v>0</v>
      </c>
    </row>
    <row r="47" spans="1:4" x14ac:dyDescent="0.2">
      <c r="A47" s="127"/>
      <c r="B47" s="126" t="s">
        <v>58</v>
      </c>
      <c r="C47" s="123">
        <f>SUM(C39:C46)</f>
        <v>0.36800000000000005</v>
      </c>
      <c r="D47" s="117">
        <f>SUM(D39:D46)</f>
        <v>0</v>
      </c>
    </row>
    <row r="48" spans="1:4" x14ac:dyDescent="0.2">
      <c r="A48" s="304"/>
      <c r="B48" s="304"/>
      <c r="C48" s="304"/>
      <c r="D48" s="304"/>
    </row>
    <row r="49" spans="1:4" x14ac:dyDescent="0.2">
      <c r="A49" s="296" t="s">
        <v>77</v>
      </c>
      <c r="B49" s="296"/>
      <c r="C49" s="296"/>
      <c r="D49" s="296"/>
    </row>
    <row r="50" spans="1:4" x14ac:dyDescent="0.2">
      <c r="A50" s="114" t="s">
        <v>78</v>
      </c>
      <c r="B50" s="284" t="s">
        <v>79</v>
      </c>
      <c r="C50" s="284"/>
      <c r="D50" s="114" t="s">
        <v>56</v>
      </c>
    </row>
    <row r="51" spans="1:4" x14ac:dyDescent="0.2">
      <c r="A51" s="110" t="s">
        <v>33</v>
      </c>
      <c r="B51" s="110" t="s">
        <v>140</v>
      </c>
      <c r="C51" s="130"/>
      <c r="D51" s="119">
        <v>0</v>
      </c>
    </row>
    <row r="52" spans="1:4" x14ac:dyDescent="0.2">
      <c r="A52" s="110" t="s">
        <v>35</v>
      </c>
      <c r="B52" s="132" t="s">
        <v>210</v>
      </c>
      <c r="C52" s="133"/>
      <c r="D52" s="134">
        <v>0</v>
      </c>
    </row>
    <row r="53" spans="1:4" x14ac:dyDescent="0.2">
      <c r="A53" s="110" t="s">
        <v>38</v>
      </c>
      <c r="B53" s="110" t="s">
        <v>193</v>
      </c>
      <c r="C53" s="130"/>
      <c r="D53" s="119">
        <v>0</v>
      </c>
    </row>
    <row r="54" spans="1:4" x14ac:dyDescent="0.2">
      <c r="A54" s="110" t="s">
        <v>57</v>
      </c>
      <c r="B54" s="110" t="s">
        <v>187</v>
      </c>
      <c r="C54" s="135"/>
      <c r="D54" s="136">
        <v>0</v>
      </c>
    </row>
    <row r="55" spans="1:4" x14ac:dyDescent="0.2">
      <c r="A55" s="110" t="s">
        <v>41</v>
      </c>
      <c r="B55" s="110" t="s">
        <v>188</v>
      </c>
      <c r="C55" s="135"/>
      <c r="D55" s="136">
        <v>0</v>
      </c>
    </row>
    <row r="56" spans="1:4" x14ac:dyDescent="0.2">
      <c r="A56" s="110" t="s">
        <v>42</v>
      </c>
      <c r="B56" s="110" t="s">
        <v>189</v>
      </c>
      <c r="C56" s="135"/>
      <c r="D56" s="136">
        <v>0</v>
      </c>
    </row>
    <row r="57" spans="1:4" x14ac:dyDescent="0.2">
      <c r="A57" s="110" t="s">
        <v>43</v>
      </c>
      <c r="B57" s="110" t="s">
        <v>211</v>
      </c>
      <c r="C57" s="135"/>
      <c r="D57" s="136">
        <v>0</v>
      </c>
    </row>
    <row r="58" spans="1:4" x14ac:dyDescent="0.2">
      <c r="A58" s="284" t="s">
        <v>58</v>
      </c>
      <c r="B58" s="284"/>
      <c r="C58" s="284"/>
      <c r="D58" s="121">
        <f>SUM(D51:D56)</f>
        <v>0</v>
      </c>
    </row>
    <row r="59" spans="1:4" x14ac:dyDescent="0.2">
      <c r="A59" s="304"/>
      <c r="B59" s="304"/>
      <c r="C59" s="304"/>
      <c r="D59" s="304"/>
    </row>
    <row r="60" spans="1:4" x14ac:dyDescent="0.2">
      <c r="A60" s="296" t="s">
        <v>80</v>
      </c>
      <c r="B60" s="296"/>
      <c r="C60" s="296"/>
      <c r="D60" s="296"/>
    </row>
    <row r="61" spans="1:4" x14ac:dyDescent="0.2">
      <c r="A61" s="114">
        <v>2</v>
      </c>
      <c r="B61" s="284" t="s">
        <v>81</v>
      </c>
      <c r="C61" s="284"/>
      <c r="D61" s="114" t="s">
        <v>56</v>
      </c>
    </row>
    <row r="62" spans="1:4" x14ac:dyDescent="0.2">
      <c r="A62" s="110" t="s">
        <v>61</v>
      </c>
      <c r="B62" s="297" t="s">
        <v>82</v>
      </c>
      <c r="C62" s="297"/>
      <c r="D62" s="116">
        <f>D35</f>
        <v>0</v>
      </c>
    </row>
    <row r="63" spans="1:4" x14ac:dyDescent="0.2">
      <c r="A63" s="110" t="s">
        <v>66</v>
      </c>
      <c r="B63" s="297" t="s">
        <v>67</v>
      </c>
      <c r="C63" s="297"/>
      <c r="D63" s="116">
        <f>D47</f>
        <v>0</v>
      </c>
    </row>
    <row r="64" spans="1:4" x14ac:dyDescent="0.2">
      <c r="A64" s="110" t="s">
        <v>78</v>
      </c>
      <c r="B64" s="297" t="s">
        <v>79</v>
      </c>
      <c r="C64" s="297"/>
      <c r="D64" s="116">
        <f>D58</f>
        <v>0</v>
      </c>
    </row>
    <row r="65" spans="1:4" x14ac:dyDescent="0.2">
      <c r="A65" s="284" t="s">
        <v>58</v>
      </c>
      <c r="B65" s="284"/>
      <c r="C65" s="284"/>
      <c r="D65" s="117">
        <f>SUM(D62:D64)</f>
        <v>0</v>
      </c>
    </row>
    <row r="66" spans="1:4" x14ac:dyDescent="0.2">
      <c r="A66" s="137"/>
      <c r="B66" s="137"/>
      <c r="C66" s="137"/>
      <c r="D66" s="138"/>
    </row>
    <row r="67" spans="1:4" x14ac:dyDescent="0.2">
      <c r="A67" s="294" t="s">
        <v>137</v>
      </c>
      <c r="B67" s="294"/>
      <c r="C67" s="294"/>
      <c r="D67" s="294"/>
    </row>
    <row r="68" spans="1:4" x14ac:dyDescent="0.2">
      <c r="A68" s="122">
        <v>3</v>
      </c>
      <c r="B68" s="114" t="s">
        <v>83</v>
      </c>
      <c r="C68" s="114" t="s">
        <v>84</v>
      </c>
      <c r="D68" s="114" t="s">
        <v>56</v>
      </c>
    </row>
    <row r="69" spans="1:4" x14ac:dyDescent="0.2">
      <c r="A69" s="111" t="s">
        <v>33</v>
      </c>
      <c r="B69" s="111" t="s">
        <v>85</v>
      </c>
      <c r="C69" s="139">
        <v>4.1700000000000001E-3</v>
      </c>
      <c r="D69" s="140">
        <v>0</v>
      </c>
    </row>
    <row r="70" spans="1:4" x14ac:dyDescent="0.2">
      <c r="A70" s="111" t="s">
        <v>35</v>
      </c>
      <c r="B70" s="111" t="s">
        <v>86</v>
      </c>
      <c r="C70" s="141">
        <v>3.3399999999999999E-4</v>
      </c>
      <c r="D70" s="142">
        <v>0</v>
      </c>
    </row>
    <row r="71" spans="1:4" x14ac:dyDescent="0.2">
      <c r="A71" s="63" t="s">
        <v>38</v>
      </c>
      <c r="B71" s="63" t="s">
        <v>87</v>
      </c>
      <c r="C71" s="143">
        <v>1.6000000000000001E-3</v>
      </c>
      <c r="D71" s="144">
        <v>0</v>
      </c>
    </row>
    <row r="72" spans="1:4" x14ac:dyDescent="0.2">
      <c r="A72" s="111" t="s">
        <v>57</v>
      </c>
      <c r="B72" s="111" t="s">
        <v>88</v>
      </c>
      <c r="C72" s="145">
        <v>1.84E-2</v>
      </c>
      <c r="D72" s="140">
        <v>0</v>
      </c>
    </row>
    <row r="73" spans="1:4" x14ac:dyDescent="0.2">
      <c r="A73" s="110" t="s">
        <v>41</v>
      </c>
      <c r="B73" s="110" t="s">
        <v>89</v>
      </c>
      <c r="C73" s="146">
        <v>5.4000000000000003E-3</v>
      </c>
      <c r="D73" s="147">
        <v>0</v>
      </c>
    </row>
    <row r="74" spans="1:4" x14ac:dyDescent="0.2">
      <c r="A74" s="63" t="s">
        <v>42</v>
      </c>
      <c r="B74" s="63" t="s">
        <v>90</v>
      </c>
      <c r="C74" s="143">
        <v>3.04E-2</v>
      </c>
      <c r="D74" s="144">
        <v>0</v>
      </c>
    </row>
    <row r="75" spans="1:4" x14ac:dyDescent="0.2">
      <c r="A75" s="293" t="s">
        <v>58</v>
      </c>
      <c r="B75" s="293"/>
      <c r="C75" s="293"/>
      <c r="D75" s="121">
        <f>SUM(D69:D74)</f>
        <v>0</v>
      </c>
    </row>
    <row r="76" spans="1:4" x14ac:dyDescent="0.2">
      <c r="A76" s="148"/>
      <c r="B76" s="148"/>
      <c r="C76" s="148"/>
      <c r="D76" s="149"/>
    </row>
    <row r="77" spans="1:4" x14ac:dyDescent="0.2">
      <c r="A77" s="295" t="s">
        <v>132</v>
      </c>
      <c r="B77" s="295"/>
      <c r="C77" s="295"/>
      <c r="D77" s="295"/>
    </row>
    <row r="78" spans="1:4" x14ac:dyDescent="0.2">
      <c r="A78" s="111" t="s">
        <v>33</v>
      </c>
      <c r="B78" s="111" t="s">
        <v>133</v>
      </c>
      <c r="C78" s="122"/>
      <c r="D78" s="121">
        <f>D26</f>
        <v>117857.04</v>
      </c>
    </row>
    <row r="79" spans="1:4" x14ac:dyDescent="0.2">
      <c r="A79" s="111" t="s">
        <v>35</v>
      </c>
      <c r="B79" s="111" t="s">
        <v>117</v>
      </c>
      <c r="C79" s="122"/>
      <c r="D79" s="121">
        <f>D65</f>
        <v>0</v>
      </c>
    </row>
    <row r="80" spans="1:4" x14ac:dyDescent="0.2">
      <c r="A80" s="63" t="s">
        <v>38</v>
      </c>
      <c r="B80" s="63" t="s">
        <v>134</v>
      </c>
      <c r="C80" s="150">
        <f>D78/12</f>
        <v>9821.42</v>
      </c>
      <c r="D80" s="150">
        <v>0</v>
      </c>
    </row>
    <row r="81" spans="1:4" x14ac:dyDescent="0.2">
      <c r="A81" s="111" t="s">
        <v>57</v>
      </c>
      <c r="B81" s="111" t="s">
        <v>118</v>
      </c>
      <c r="C81" s="122"/>
      <c r="D81" s="121">
        <f>D75</f>
        <v>0</v>
      </c>
    </row>
    <row r="82" spans="1:4" x14ac:dyDescent="0.2">
      <c r="A82" s="111" t="s">
        <v>41</v>
      </c>
      <c r="B82" s="111" t="s">
        <v>135</v>
      </c>
      <c r="C82" s="122"/>
      <c r="D82" s="168">
        <f>-(D51+D52)</f>
        <v>0</v>
      </c>
    </row>
    <row r="83" spans="1:4" x14ac:dyDescent="0.2">
      <c r="A83" s="293" t="s">
        <v>136</v>
      </c>
      <c r="B83" s="293"/>
      <c r="C83" s="293"/>
      <c r="D83" s="121">
        <f>SUM(D78:D82)</f>
        <v>117857.04</v>
      </c>
    </row>
    <row r="84" spans="1:4" ht="13.5" thickBot="1" x14ac:dyDescent="0.25">
      <c r="A84" s="148"/>
      <c r="B84" s="148"/>
      <c r="C84" s="148"/>
      <c r="D84" s="148"/>
    </row>
    <row r="85" spans="1:4" ht="13.5" thickBot="1" x14ac:dyDescent="0.25">
      <c r="A85" s="280" t="s">
        <v>91</v>
      </c>
      <c r="B85" s="280"/>
      <c r="C85" s="280"/>
      <c r="D85" s="280"/>
    </row>
    <row r="86" spans="1:4" x14ac:dyDescent="0.2">
      <c r="A86" s="296" t="s">
        <v>92</v>
      </c>
      <c r="B86" s="296"/>
      <c r="C86" s="296"/>
      <c r="D86" s="296"/>
    </row>
    <row r="87" spans="1:4" x14ac:dyDescent="0.2">
      <c r="A87" s="114" t="s">
        <v>93</v>
      </c>
      <c r="B87" s="114" t="s">
        <v>94</v>
      </c>
      <c r="C87" s="114" t="s">
        <v>84</v>
      </c>
      <c r="D87" s="114" t="s">
        <v>56</v>
      </c>
    </row>
    <row r="88" spans="1:4" x14ac:dyDescent="0.2">
      <c r="A88" s="111" t="s">
        <v>33</v>
      </c>
      <c r="B88" s="110" t="s">
        <v>95</v>
      </c>
      <c r="C88" s="123">
        <v>8.3299999999999999E-2</v>
      </c>
      <c r="D88" s="119">
        <v>0</v>
      </c>
    </row>
    <row r="89" spans="1:4" x14ac:dyDescent="0.2">
      <c r="A89" s="111" t="s">
        <v>35</v>
      </c>
      <c r="B89" s="110" t="s">
        <v>138</v>
      </c>
      <c r="C89" s="151">
        <v>2.2200000000000002E-3</v>
      </c>
      <c r="D89" s="119">
        <v>0</v>
      </c>
    </row>
    <row r="90" spans="1:4" x14ac:dyDescent="0.2">
      <c r="A90" s="111" t="s">
        <v>38</v>
      </c>
      <c r="B90" s="110" t="s">
        <v>96</v>
      </c>
      <c r="C90" s="151">
        <v>2.0000000000000001E-4</v>
      </c>
      <c r="D90" s="119">
        <v>0</v>
      </c>
    </row>
    <row r="91" spans="1:4" x14ac:dyDescent="0.2">
      <c r="A91" s="111" t="s">
        <v>57</v>
      </c>
      <c r="B91" s="110" t="s">
        <v>97</v>
      </c>
      <c r="C91" s="151">
        <v>2.7999999999999998E-4</v>
      </c>
      <c r="D91" s="119">
        <v>0</v>
      </c>
    </row>
    <row r="92" spans="1:4" x14ac:dyDescent="0.2">
      <c r="A92" s="111"/>
      <c r="B92" s="110" t="s">
        <v>139</v>
      </c>
      <c r="C92" s="151">
        <v>3.5999999999999999E-3</v>
      </c>
      <c r="D92" s="119">
        <v>0</v>
      </c>
    </row>
    <row r="93" spans="1:4" x14ac:dyDescent="0.2">
      <c r="A93" s="111" t="s">
        <v>41</v>
      </c>
      <c r="B93" s="110" t="s">
        <v>98</v>
      </c>
      <c r="C93" s="151">
        <v>3.8999999999999999E-4</v>
      </c>
      <c r="D93" s="119">
        <v>0</v>
      </c>
    </row>
    <row r="94" spans="1:4" x14ac:dyDescent="0.2">
      <c r="A94" s="111" t="s">
        <v>42</v>
      </c>
      <c r="B94" s="110" t="s">
        <v>126</v>
      </c>
      <c r="C94" s="146"/>
      <c r="D94" s="119">
        <f>(($D$26+$D$65+$D$75)-$D$51)*C94</f>
        <v>0</v>
      </c>
    </row>
    <row r="95" spans="1:4" x14ac:dyDescent="0.2">
      <c r="A95" s="122" t="s">
        <v>58</v>
      </c>
      <c r="B95" s="122"/>
      <c r="C95" s="122"/>
      <c r="D95" s="121">
        <f>SUM(D88:D94)</f>
        <v>0</v>
      </c>
    </row>
    <row r="96" spans="1:4" x14ac:dyDescent="0.2">
      <c r="A96" s="290" t="s">
        <v>99</v>
      </c>
      <c r="B96" s="291"/>
      <c r="C96" s="291"/>
      <c r="D96" s="292"/>
    </row>
    <row r="97" spans="1:4" x14ac:dyDescent="0.2">
      <c r="A97" s="122" t="s">
        <v>100</v>
      </c>
      <c r="B97" s="111" t="s">
        <v>101</v>
      </c>
      <c r="C97" s="111"/>
      <c r="D97" s="114" t="s">
        <v>56</v>
      </c>
    </row>
    <row r="98" spans="1:4" x14ac:dyDescent="0.2">
      <c r="A98" s="111" t="s">
        <v>33</v>
      </c>
      <c r="B98" s="111" t="s">
        <v>102</v>
      </c>
      <c r="C98" s="111"/>
      <c r="D98" s="119">
        <v>0</v>
      </c>
    </row>
    <row r="99" spans="1:4" x14ac:dyDescent="0.2">
      <c r="A99" s="122" t="s">
        <v>58</v>
      </c>
      <c r="B99" s="122"/>
      <c r="C99" s="122"/>
      <c r="D99" s="121"/>
    </row>
    <row r="100" spans="1:4" x14ac:dyDescent="0.2">
      <c r="A100" s="125"/>
      <c r="B100" s="125"/>
      <c r="C100" s="125"/>
      <c r="D100" s="125"/>
    </row>
    <row r="101" spans="1:4" x14ac:dyDescent="0.2">
      <c r="A101" s="287" t="s">
        <v>103</v>
      </c>
      <c r="B101" s="288"/>
      <c r="C101" s="288"/>
      <c r="D101" s="289"/>
    </row>
    <row r="102" spans="1:4" x14ac:dyDescent="0.2">
      <c r="A102" s="114">
        <v>4</v>
      </c>
      <c r="B102" s="152" t="s">
        <v>104</v>
      </c>
      <c r="C102" s="153"/>
      <c r="D102" s="114" t="s">
        <v>56</v>
      </c>
    </row>
    <row r="103" spans="1:4" x14ac:dyDescent="0.2">
      <c r="A103" s="110" t="s">
        <v>93</v>
      </c>
      <c r="B103" s="154" t="s">
        <v>94</v>
      </c>
      <c r="C103" s="155"/>
      <c r="D103" s="156">
        <f>D95</f>
        <v>0</v>
      </c>
    </row>
    <row r="104" spans="1:4" x14ac:dyDescent="0.2">
      <c r="A104" s="110" t="s">
        <v>100</v>
      </c>
      <c r="B104" s="154" t="s">
        <v>101</v>
      </c>
      <c r="C104" s="155"/>
      <c r="D104" s="119">
        <f>D99</f>
        <v>0</v>
      </c>
    </row>
    <row r="105" spans="1:4" x14ac:dyDescent="0.2">
      <c r="A105" s="157" t="s">
        <v>58</v>
      </c>
      <c r="B105" s="158"/>
      <c r="C105" s="159"/>
      <c r="D105" s="121">
        <f>SUM(D103:D104)</f>
        <v>0</v>
      </c>
    </row>
    <row r="106" spans="1:4" x14ac:dyDescent="0.2">
      <c r="A106" s="62" t="s">
        <v>54</v>
      </c>
      <c r="B106" s="62"/>
      <c r="C106" s="62"/>
      <c r="D106" s="62"/>
    </row>
    <row r="107" spans="1:4" x14ac:dyDescent="0.2">
      <c r="A107" s="287" t="s">
        <v>105</v>
      </c>
      <c r="B107" s="288"/>
      <c r="C107" s="288"/>
      <c r="D107" s="289"/>
    </row>
    <row r="108" spans="1:4" x14ac:dyDescent="0.2">
      <c r="A108" s="114">
        <v>5</v>
      </c>
      <c r="B108" s="114" t="s">
        <v>106</v>
      </c>
      <c r="C108" s="114"/>
      <c r="D108" s="114" t="s">
        <v>56</v>
      </c>
    </row>
    <row r="109" spans="1:4" x14ac:dyDescent="0.2">
      <c r="A109" s="132" t="s">
        <v>33</v>
      </c>
      <c r="B109" s="160" t="s">
        <v>141</v>
      </c>
      <c r="C109" s="160"/>
      <c r="D109" s="136">
        <v>137.56</v>
      </c>
    </row>
    <row r="110" spans="1:4" x14ac:dyDescent="0.2">
      <c r="A110" s="110" t="s">
        <v>35</v>
      </c>
      <c r="B110" s="110" t="s">
        <v>164</v>
      </c>
      <c r="C110" s="114"/>
      <c r="D110" s="116">
        <v>0</v>
      </c>
    </row>
    <row r="111" spans="1:4" x14ac:dyDescent="0.2">
      <c r="A111" s="114" t="s">
        <v>58</v>
      </c>
      <c r="B111" s="114"/>
      <c r="C111" s="114"/>
      <c r="D111" s="117">
        <f>D109+D110</f>
        <v>137.56</v>
      </c>
    </row>
    <row r="112" spans="1:4" x14ac:dyDescent="0.2">
      <c r="A112" s="301"/>
      <c r="B112" s="301"/>
      <c r="C112" s="301"/>
      <c r="D112" s="301"/>
    </row>
    <row r="113" spans="1:4" x14ac:dyDescent="0.2">
      <c r="A113" s="287" t="s">
        <v>107</v>
      </c>
      <c r="B113" s="288"/>
      <c r="C113" s="288"/>
      <c r="D113" s="289"/>
    </row>
    <row r="114" spans="1:4" x14ac:dyDescent="0.2">
      <c r="A114" s="114">
        <v>6</v>
      </c>
      <c r="B114" s="114" t="s">
        <v>108</v>
      </c>
      <c r="C114" s="114" t="s">
        <v>68</v>
      </c>
      <c r="D114" s="114" t="s">
        <v>56</v>
      </c>
    </row>
    <row r="115" spans="1:4" x14ac:dyDescent="0.2">
      <c r="A115" s="110" t="s">
        <v>33</v>
      </c>
      <c r="B115" s="160" t="s">
        <v>109</v>
      </c>
      <c r="C115" s="161">
        <v>0.05</v>
      </c>
      <c r="D115" s="116">
        <f>C115*D131</f>
        <v>5899.73</v>
      </c>
    </row>
    <row r="116" spans="1:4" x14ac:dyDescent="0.2">
      <c r="A116" s="110" t="s">
        <v>35</v>
      </c>
      <c r="B116" s="160" t="s">
        <v>110</v>
      </c>
      <c r="C116" s="161">
        <v>0.1</v>
      </c>
      <c r="D116" s="116">
        <f>C116*(D115+D131)</f>
        <v>12389.432999999999</v>
      </c>
    </row>
    <row r="117" spans="1:4" x14ac:dyDescent="0.2">
      <c r="A117" s="110" t="s">
        <v>38</v>
      </c>
      <c r="B117" s="160" t="s">
        <v>111</v>
      </c>
      <c r="C117" s="162">
        <f>SUM(C118:C120)</f>
        <v>5.6499999999999995E-2</v>
      </c>
      <c r="D117" s="116">
        <f>(D26+D65+D75+D105+D110+D115+D116)*(C118+C119+C120)/(1-(C118+C119+C120))</f>
        <v>8152.8992787493353</v>
      </c>
    </row>
    <row r="118" spans="1:4" x14ac:dyDescent="0.2">
      <c r="A118" s="110"/>
      <c r="B118" s="132" t="s">
        <v>112</v>
      </c>
      <c r="C118" s="162">
        <v>6.4999999999999997E-3</v>
      </c>
      <c r="D118" s="116">
        <f>C118*D133</f>
        <v>938.83830481187067</v>
      </c>
    </row>
    <row r="119" spans="1:4" x14ac:dyDescent="0.2">
      <c r="A119" s="110"/>
      <c r="B119" s="132" t="s">
        <v>113</v>
      </c>
      <c r="C119" s="162">
        <v>0.03</v>
      </c>
      <c r="D119" s="116">
        <f>C119*D133</f>
        <v>4333.0998683624803</v>
      </c>
    </row>
    <row r="120" spans="1:4" x14ac:dyDescent="0.2">
      <c r="A120" s="110"/>
      <c r="B120" s="110" t="s">
        <v>114</v>
      </c>
      <c r="C120" s="163">
        <v>0.02</v>
      </c>
      <c r="D120" s="116">
        <f>C120*D133</f>
        <v>2888.733245574987</v>
      </c>
    </row>
    <row r="121" spans="1:4" x14ac:dyDescent="0.2">
      <c r="A121" s="114" t="s">
        <v>58</v>
      </c>
      <c r="B121" s="114"/>
      <c r="C121" s="114"/>
      <c r="D121" s="117">
        <f>SUM(D115:D117)</f>
        <v>26442.062278749334</v>
      </c>
    </row>
    <row r="122" spans="1:4" x14ac:dyDescent="0.2">
      <c r="A122" s="62"/>
      <c r="B122" s="62"/>
      <c r="C122" s="62"/>
      <c r="D122" s="62"/>
    </row>
    <row r="123" spans="1:4" x14ac:dyDescent="0.2">
      <c r="A123" s="321" t="s">
        <v>115</v>
      </c>
      <c r="B123" s="322"/>
      <c r="C123" s="322"/>
      <c r="D123" s="323"/>
    </row>
    <row r="124" spans="1:4" x14ac:dyDescent="0.2">
      <c r="A124" s="62" t="s">
        <v>54</v>
      </c>
      <c r="B124" s="62"/>
      <c r="C124" s="62"/>
      <c r="D124" s="62"/>
    </row>
    <row r="125" spans="1:4" x14ac:dyDescent="0.2">
      <c r="A125" s="110"/>
      <c r="B125" s="114" t="s">
        <v>116</v>
      </c>
      <c r="C125" s="114"/>
      <c r="D125" s="114" t="s">
        <v>56</v>
      </c>
    </row>
    <row r="126" spans="1:4" x14ac:dyDescent="0.2">
      <c r="A126" s="110" t="s">
        <v>33</v>
      </c>
      <c r="B126" s="285" t="s">
        <v>53</v>
      </c>
      <c r="C126" s="286"/>
      <c r="D126" s="116">
        <f>D26</f>
        <v>117857.04</v>
      </c>
    </row>
    <row r="127" spans="1:4" x14ac:dyDescent="0.2">
      <c r="A127" s="110" t="s">
        <v>35</v>
      </c>
      <c r="B127" s="285" t="s">
        <v>117</v>
      </c>
      <c r="C127" s="286"/>
      <c r="D127" s="116">
        <f>D65</f>
        <v>0</v>
      </c>
    </row>
    <row r="128" spans="1:4" x14ac:dyDescent="0.2">
      <c r="A128" s="110" t="s">
        <v>38</v>
      </c>
      <c r="B128" s="285" t="s">
        <v>118</v>
      </c>
      <c r="C128" s="286"/>
      <c r="D128" s="116">
        <f>D75</f>
        <v>0</v>
      </c>
    </row>
    <row r="129" spans="1:4" x14ac:dyDescent="0.2">
      <c r="A129" s="110" t="s">
        <v>57</v>
      </c>
      <c r="B129" s="285" t="s">
        <v>119</v>
      </c>
      <c r="C129" s="286"/>
      <c r="D129" s="116">
        <f>D105</f>
        <v>0</v>
      </c>
    </row>
    <row r="130" spans="1:4" x14ac:dyDescent="0.2">
      <c r="A130" s="110" t="s">
        <v>41</v>
      </c>
      <c r="B130" s="285" t="s">
        <v>120</v>
      </c>
      <c r="C130" s="286"/>
      <c r="D130" s="116">
        <f>D111</f>
        <v>137.56</v>
      </c>
    </row>
    <row r="131" spans="1:4" x14ac:dyDescent="0.2">
      <c r="A131" s="281" t="s">
        <v>121</v>
      </c>
      <c r="B131" s="282"/>
      <c r="C131" s="283"/>
      <c r="D131" s="117">
        <f>SUM(D126:D130)</f>
        <v>117994.59999999999</v>
      </c>
    </row>
    <row r="132" spans="1:4" x14ac:dyDescent="0.2">
      <c r="A132" s="110" t="s">
        <v>42</v>
      </c>
      <c r="B132" s="285" t="s">
        <v>122</v>
      </c>
      <c r="C132" s="286"/>
      <c r="D132" s="116">
        <f>D121</f>
        <v>26442.062278749334</v>
      </c>
    </row>
    <row r="133" spans="1:4" x14ac:dyDescent="0.2">
      <c r="A133" s="298" t="s">
        <v>123</v>
      </c>
      <c r="B133" s="299"/>
      <c r="C133" s="300"/>
      <c r="D133" s="121">
        <f>SUM(D131+D132)</f>
        <v>144436.66227874934</v>
      </c>
    </row>
    <row r="134" spans="1:4" x14ac:dyDescent="0.2">
      <c r="A134" s="148"/>
      <c r="B134" s="148"/>
      <c r="C134" s="148"/>
      <c r="D134" s="149"/>
    </row>
    <row r="135" spans="1:4" x14ac:dyDescent="0.2">
      <c r="A135" s="148"/>
      <c r="B135" s="148"/>
      <c r="C135" s="122" t="s">
        <v>129</v>
      </c>
      <c r="D135" s="122">
        <v>3</v>
      </c>
    </row>
    <row r="136" spans="1:4" x14ac:dyDescent="0.2">
      <c r="A136" s="62"/>
      <c r="B136" s="62"/>
      <c r="C136" s="111" t="s">
        <v>124</v>
      </c>
      <c r="D136" s="164">
        <f>D135*D133</f>
        <v>433309.98683624802</v>
      </c>
    </row>
    <row r="137" spans="1:4" x14ac:dyDescent="0.2">
      <c r="A137" s="62"/>
      <c r="B137" s="62"/>
      <c r="C137" s="122" t="s">
        <v>128</v>
      </c>
      <c r="D137" s="165">
        <v>12</v>
      </c>
    </row>
    <row r="138" spans="1:4" x14ac:dyDescent="0.2">
      <c r="A138" s="62"/>
      <c r="B138" s="62"/>
      <c r="C138" s="111" t="s">
        <v>125</v>
      </c>
      <c r="D138" s="166">
        <f>D137*D136</f>
        <v>5199719.842034976</v>
      </c>
    </row>
  </sheetData>
  <mergeCells count="59">
    <mergeCell ref="A131:C131"/>
    <mergeCell ref="B132:C132"/>
    <mergeCell ref="A133:C133"/>
    <mergeCell ref="A67:D67"/>
    <mergeCell ref="A75:C75"/>
    <mergeCell ref="A77:D77"/>
    <mergeCell ref="A83:C83"/>
    <mergeCell ref="A85:D85"/>
    <mergeCell ref="A96:D96"/>
    <mergeCell ref="B129:C129"/>
    <mergeCell ref="B130:C130"/>
    <mergeCell ref="A86:D86"/>
    <mergeCell ref="B127:C127"/>
    <mergeCell ref="B128:C128"/>
    <mergeCell ref="A113:D113"/>
    <mergeCell ref="A101:D101"/>
    <mergeCell ref="A112:D112"/>
    <mergeCell ref="A123:D123"/>
    <mergeCell ref="B126:C126"/>
    <mergeCell ref="A49:D49"/>
    <mergeCell ref="A60:D60"/>
    <mergeCell ref="B62:C62"/>
    <mergeCell ref="B63:C63"/>
    <mergeCell ref="B64:C64"/>
    <mergeCell ref="B61:C61"/>
    <mergeCell ref="A65:C65"/>
    <mergeCell ref="A58:C58"/>
    <mergeCell ref="A59:D59"/>
    <mergeCell ref="A34:B34"/>
    <mergeCell ref="A37:D37"/>
    <mergeCell ref="A107:D107"/>
    <mergeCell ref="A35:C35"/>
    <mergeCell ref="A36:D36"/>
    <mergeCell ref="A29:D29"/>
    <mergeCell ref="A48:D48"/>
    <mergeCell ref="B50:C50"/>
    <mergeCell ref="B8:C8"/>
    <mergeCell ref="B9:C9"/>
    <mergeCell ref="A11:D11"/>
    <mergeCell ref="B30:C30"/>
    <mergeCell ref="A33:B33"/>
    <mergeCell ref="B21:C21"/>
    <mergeCell ref="A26:C26"/>
    <mergeCell ref="A28:D28"/>
    <mergeCell ref="A10:D10"/>
    <mergeCell ref="A12:C12"/>
    <mergeCell ref="A14:D14"/>
    <mergeCell ref="A20:D20"/>
    <mergeCell ref="B18:C18"/>
    <mergeCell ref="A1:D1"/>
    <mergeCell ref="A2:D2"/>
    <mergeCell ref="A3:D3"/>
    <mergeCell ref="A4:C4"/>
    <mergeCell ref="A6:D6"/>
    <mergeCell ref="B16:C16"/>
    <mergeCell ref="A13:C13"/>
    <mergeCell ref="A15:D15"/>
    <mergeCell ref="B17:C17"/>
    <mergeCell ref="B7:C7"/>
  </mergeCells>
  <pageMargins left="0.25" right="0.25" top="0.75" bottom="0.75" header="0.3" footer="0.3"/>
  <pageSetup paperSize="9" scale="95" fitToHeight="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workbookViewId="0">
      <selection activeCell="A72" sqref="A72"/>
    </sheetView>
  </sheetViews>
  <sheetFormatPr defaultRowHeight="15" x14ac:dyDescent="0.25"/>
  <cols>
    <col min="4" max="4" width="16.85546875" customWidth="1"/>
    <col min="5" max="5" width="14" customWidth="1"/>
    <col min="6" max="6" width="14.7109375" customWidth="1"/>
    <col min="7" max="7" width="16.5703125" customWidth="1"/>
    <col min="8" max="8" width="9.140625" customWidth="1"/>
  </cols>
  <sheetData>
    <row r="1" spans="1:7" ht="16.5" thickTop="1" thickBot="1" x14ac:dyDescent="0.3">
      <c r="A1" s="6" t="s">
        <v>0</v>
      </c>
      <c r="B1" s="7" t="s">
        <v>1</v>
      </c>
      <c r="C1" s="6" t="s">
        <v>2</v>
      </c>
      <c r="D1" s="6" t="s">
        <v>14</v>
      </c>
      <c r="E1" s="5" t="s">
        <v>13</v>
      </c>
      <c r="F1" s="8" t="s">
        <v>17</v>
      </c>
      <c r="G1" s="9" t="s">
        <v>18</v>
      </c>
    </row>
    <row r="2" spans="1:7" ht="16.5" thickTop="1" thickBot="1" x14ac:dyDescent="0.3">
      <c r="A2" s="1">
        <v>1</v>
      </c>
      <c r="B2" s="2" t="s">
        <v>3</v>
      </c>
      <c r="C2" s="3">
        <v>13942</v>
      </c>
      <c r="D2" s="3" t="s">
        <v>15</v>
      </c>
      <c r="E2" s="14">
        <v>39.5</v>
      </c>
      <c r="F2" s="14">
        <v>45</v>
      </c>
      <c r="G2" s="14">
        <v>60</v>
      </c>
    </row>
    <row r="3" spans="1:7" ht="16.5" thickTop="1" thickBot="1" x14ac:dyDescent="0.3">
      <c r="A3" s="1">
        <v>2</v>
      </c>
      <c r="B3" s="2" t="s">
        <v>4</v>
      </c>
      <c r="C3" s="3">
        <v>7948</v>
      </c>
      <c r="D3" s="4" t="s">
        <v>16</v>
      </c>
      <c r="E3" s="14">
        <v>51.03</v>
      </c>
      <c r="F3" s="14">
        <v>65</v>
      </c>
      <c r="G3" s="14">
        <v>80</v>
      </c>
    </row>
    <row r="4" spans="1:7" ht="16.5" thickTop="1" thickBot="1" x14ac:dyDescent="0.3">
      <c r="A4" s="1">
        <v>3</v>
      </c>
      <c r="B4" s="2" t="s">
        <v>5</v>
      </c>
      <c r="C4" s="3">
        <v>13949</v>
      </c>
      <c r="D4" s="4" t="s">
        <v>15</v>
      </c>
      <c r="E4" s="14">
        <v>56.25</v>
      </c>
      <c r="F4" s="14">
        <v>85</v>
      </c>
      <c r="G4" s="14">
        <v>96</v>
      </c>
    </row>
    <row r="5" spans="1:7" ht="16.5" thickTop="1" thickBot="1" x14ac:dyDescent="0.3">
      <c r="A5" s="1">
        <v>4</v>
      </c>
      <c r="B5" s="2" t="s">
        <v>6</v>
      </c>
      <c r="C5" s="3">
        <v>13941</v>
      </c>
      <c r="D5" s="3" t="s">
        <v>15</v>
      </c>
      <c r="E5" s="14">
        <v>86.9</v>
      </c>
      <c r="F5" s="14">
        <v>60</v>
      </c>
      <c r="G5" s="14">
        <v>80</v>
      </c>
    </row>
    <row r="6" spans="1:7" ht="16.5" thickTop="1" thickBot="1" x14ac:dyDescent="0.3">
      <c r="A6" s="1">
        <v>5</v>
      </c>
      <c r="B6" s="2" t="s">
        <v>7</v>
      </c>
      <c r="C6" s="3">
        <v>7949</v>
      </c>
      <c r="D6" s="3" t="s">
        <v>16</v>
      </c>
      <c r="E6" s="14">
        <v>45.77</v>
      </c>
      <c r="F6" s="14">
        <v>52.5</v>
      </c>
      <c r="G6" s="14">
        <v>80</v>
      </c>
    </row>
    <row r="7" spans="1:7" ht="16.5" thickTop="1" thickBot="1" x14ac:dyDescent="0.3">
      <c r="A7" s="1">
        <v>6</v>
      </c>
      <c r="B7" s="2" t="s">
        <v>8</v>
      </c>
      <c r="C7" s="3">
        <v>13943</v>
      </c>
      <c r="D7" s="4" t="s">
        <v>16</v>
      </c>
      <c r="E7" s="14">
        <v>119.7</v>
      </c>
      <c r="F7" s="14">
        <v>90</v>
      </c>
      <c r="G7" s="14">
        <v>145</v>
      </c>
    </row>
    <row r="8" spans="1:7" ht="16.5" thickTop="1" thickBot="1" x14ac:dyDescent="0.3">
      <c r="A8" s="1">
        <v>7</v>
      </c>
      <c r="B8" s="2" t="s">
        <v>9</v>
      </c>
      <c r="C8" s="3">
        <v>72481</v>
      </c>
      <c r="D8" s="3" t="s">
        <v>15</v>
      </c>
      <c r="E8" s="18"/>
      <c r="F8" s="16">
        <v>70</v>
      </c>
      <c r="G8" s="19"/>
    </row>
    <row r="9" spans="1:7" ht="16.5" thickTop="1" thickBot="1" x14ac:dyDescent="0.3">
      <c r="A9" s="1">
        <v>8</v>
      </c>
      <c r="B9" s="2" t="s">
        <v>10</v>
      </c>
      <c r="C9" s="3">
        <v>94068</v>
      </c>
      <c r="D9" s="3" t="s">
        <v>16</v>
      </c>
      <c r="E9" s="14">
        <v>530</v>
      </c>
      <c r="F9" s="14">
        <v>295</v>
      </c>
      <c r="G9" s="14">
        <v>355</v>
      </c>
    </row>
    <row r="10" spans="1:7" ht="16.5" thickTop="1" thickBot="1" x14ac:dyDescent="0.3">
      <c r="A10" s="1">
        <v>9</v>
      </c>
      <c r="B10" s="2" t="s">
        <v>11</v>
      </c>
      <c r="C10" s="3">
        <v>94069</v>
      </c>
      <c r="D10" s="3" t="s">
        <v>16</v>
      </c>
      <c r="E10" s="14">
        <v>597.5</v>
      </c>
      <c r="F10" s="21"/>
      <c r="G10" s="14">
        <v>445</v>
      </c>
    </row>
    <row r="11" spans="1:7" ht="16.5" thickTop="1" thickBot="1" x14ac:dyDescent="0.3">
      <c r="A11" s="1">
        <v>10</v>
      </c>
      <c r="B11" s="2" t="s">
        <v>12</v>
      </c>
      <c r="C11" s="3">
        <v>7946</v>
      </c>
      <c r="D11" s="3" t="s">
        <v>15</v>
      </c>
      <c r="E11" s="18"/>
      <c r="F11" s="14">
        <v>70</v>
      </c>
      <c r="G11" s="14">
        <v>60</v>
      </c>
    </row>
    <row r="12" spans="1:7" ht="15.75" thickTop="1" x14ac:dyDescent="0.25">
      <c r="A12" s="29"/>
      <c r="B12" s="30"/>
      <c r="C12" s="31"/>
      <c r="D12" s="31"/>
      <c r="E12" s="32"/>
      <c r="F12" s="33"/>
      <c r="G12" s="33"/>
    </row>
    <row r="13" spans="1:7" ht="15.75" thickBot="1" x14ac:dyDescent="0.3"/>
    <row r="14" spans="1:7" ht="16.5" thickTop="1" thickBot="1" x14ac:dyDescent="0.3">
      <c r="A14" s="6" t="s">
        <v>0</v>
      </c>
      <c r="B14" s="7" t="s">
        <v>1</v>
      </c>
      <c r="C14" s="6" t="s">
        <v>2</v>
      </c>
      <c r="D14" s="6" t="s">
        <v>14</v>
      </c>
      <c r="E14" s="22" t="s">
        <v>24</v>
      </c>
      <c r="F14" s="10" t="s">
        <v>19</v>
      </c>
      <c r="G14" s="11" t="s">
        <v>20</v>
      </c>
    </row>
    <row r="15" spans="1:7" ht="16.5" thickTop="1" thickBot="1" x14ac:dyDescent="0.3">
      <c r="A15" s="1">
        <v>1</v>
      </c>
      <c r="B15" s="2" t="s">
        <v>3</v>
      </c>
      <c r="C15" s="3">
        <v>13942</v>
      </c>
      <c r="D15" s="3" t="s">
        <v>15</v>
      </c>
      <c r="E15" s="14">
        <v>40</v>
      </c>
      <c r="F15" s="15"/>
      <c r="G15" s="16">
        <v>55</v>
      </c>
    </row>
    <row r="16" spans="1:7" ht="16.5" thickTop="1" thickBot="1" x14ac:dyDescent="0.3">
      <c r="A16" s="1">
        <v>2</v>
      </c>
      <c r="B16" s="2" t="s">
        <v>4</v>
      </c>
      <c r="C16" s="3">
        <v>7948</v>
      </c>
      <c r="D16" s="4" t="s">
        <v>16</v>
      </c>
      <c r="E16" s="14">
        <v>80</v>
      </c>
      <c r="F16" s="15"/>
      <c r="G16" s="16">
        <v>60</v>
      </c>
    </row>
    <row r="17" spans="1:7" ht="16.5" thickTop="1" thickBot="1" x14ac:dyDescent="0.3">
      <c r="A17" s="1">
        <v>3</v>
      </c>
      <c r="B17" s="2" t="s">
        <v>5</v>
      </c>
      <c r="C17" s="3">
        <v>13949</v>
      </c>
      <c r="D17" s="4" t="s">
        <v>15</v>
      </c>
      <c r="E17" s="14">
        <v>250</v>
      </c>
      <c r="F17" s="15"/>
      <c r="G17" s="16">
        <v>100</v>
      </c>
    </row>
    <row r="18" spans="1:7" ht="16.5" thickTop="1" thickBot="1" x14ac:dyDescent="0.3">
      <c r="A18" s="1">
        <v>4</v>
      </c>
      <c r="B18" s="2" t="s">
        <v>6</v>
      </c>
      <c r="C18" s="3">
        <v>13941</v>
      </c>
      <c r="D18" s="3" t="s">
        <v>15</v>
      </c>
      <c r="E18" s="14">
        <v>250</v>
      </c>
      <c r="F18" s="15"/>
      <c r="G18" s="16">
        <v>60</v>
      </c>
    </row>
    <row r="19" spans="1:7" ht="16.5" thickTop="1" thickBot="1" x14ac:dyDescent="0.3">
      <c r="A19" s="1">
        <v>5</v>
      </c>
      <c r="B19" s="2" t="s">
        <v>7</v>
      </c>
      <c r="C19" s="3">
        <v>7949</v>
      </c>
      <c r="D19" s="3" t="s">
        <v>16</v>
      </c>
      <c r="E19" s="14">
        <v>100</v>
      </c>
      <c r="F19" s="14">
        <v>96</v>
      </c>
      <c r="G19" s="16">
        <v>70</v>
      </c>
    </row>
    <row r="20" spans="1:7" ht="16.5" thickTop="1" thickBot="1" x14ac:dyDescent="0.3">
      <c r="A20" s="1">
        <v>6</v>
      </c>
      <c r="B20" s="2" t="s">
        <v>8</v>
      </c>
      <c r="C20" s="3">
        <v>13943</v>
      </c>
      <c r="D20" s="4" t="s">
        <v>16</v>
      </c>
      <c r="E20" s="14">
        <v>150</v>
      </c>
      <c r="F20" s="14">
        <v>187</v>
      </c>
      <c r="G20" s="16">
        <v>120</v>
      </c>
    </row>
    <row r="21" spans="1:7" ht="16.5" thickTop="1" thickBot="1" x14ac:dyDescent="0.3">
      <c r="A21" s="1">
        <v>7</v>
      </c>
      <c r="B21" s="2" t="s">
        <v>9</v>
      </c>
      <c r="C21" s="3">
        <v>72481</v>
      </c>
      <c r="D21" s="3" t="s">
        <v>15</v>
      </c>
      <c r="E21" s="16">
        <v>250</v>
      </c>
      <c r="F21" s="15"/>
      <c r="G21" s="16">
        <v>70</v>
      </c>
    </row>
    <row r="22" spans="1:7" ht="16.5" thickTop="1" thickBot="1" x14ac:dyDescent="0.3">
      <c r="A22" s="1">
        <v>8</v>
      </c>
      <c r="B22" s="2" t="s">
        <v>10</v>
      </c>
      <c r="C22" s="3">
        <v>94068</v>
      </c>
      <c r="D22" s="3" t="s">
        <v>16</v>
      </c>
      <c r="E22" s="23"/>
      <c r="F22" s="15"/>
      <c r="G22" s="16">
        <v>410</v>
      </c>
    </row>
    <row r="23" spans="1:7" ht="16.5" thickTop="1" thickBot="1" x14ac:dyDescent="0.3">
      <c r="A23" s="1">
        <v>9</v>
      </c>
      <c r="B23" s="2" t="s">
        <v>11</v>
      </c>
      <c r="C23" s="3">
        <v>94069</v>
      </c>
      <c r="D23" s="3" t="s">
        <v>16</v>
      </c>
      <c r="E23" s="23"/>
      <c r="F23" s="15"/>
      <c r="G23" s="16">
        <v>480</v>
      </c>
    </row>
    <row r="24" spans="1:7" ht="16.5" thickTop="1" thickBot="1" x14ac:dyDescent="0.3">
      <c r="A24" s="1">
        <v>10</v>
      </c>
      <c r="B24" s="2" t="s">
        <v>12</v>
      </c>
      <c r="C24" s="3">
        <v>7946</v>
      </c>
      <c r="D24" s="3" t="s">
        <v>15</v>
      </c>
      <c r="E24" s="14">
        <v>250</v>
      </c>
      <c r="F24" s="15"/>
      <c r="G24" s="16">
        <v>70</v>
      </c>
    </row>
    <row r="25" spans="1:7" ht="15.75" thickTop="1" x14ac:dyDescent="0.25">
      <c r="A25" s="29"/>
      <c r="B25" s="30"/>
      <c r="C25" s="31"/>
      <c r="D25" s="31"/>
      <c r="E25" s="33"/>
      <c r="F25" s="32"/>
      <c r="G25" s="32"/>
    </row>
    <row r="26" spans="1:7" x14ac:dyDescent="0.25">
      <c r="A26" s="29"/>
      <c r="B26" s="30"/>
      <c r="C26" s="31"/>
      <c r="D26" s="31"/>
      <c r="E26" s="33"/>
      <c r="F26" s="32"/>
      <c r="G26" s="32"/>
    </row>
    <row r="27" spans="1:7" x14ac:dyDescent="0.25">
      <c r="A27" s="29"/>
      <c r="B27" s="30"/>
      <c r="C27" s="31"/>
      <c r="D27" s="31"/>
      <c r="E27" s="33"/>
      <c r="F27" s="32"/>
      <c r="G27" s="32"/>
    </row>
    <row r="28" spans="1:7" x14ac:dyDescent="0.25">
      <c r="A28" s="29"/>
      <c r="B28" s="30"/>
      <c r="C28" s="31"/>
      <c r="D28" s="31"/>
      <c r="E28" s="33"/>
      <c r="F28" s="32"/>
      <c r="G28" s="32"/>
    </row>
    <row r="29" spans="1:7" x14ac:dyDescent="0.25">
      <c r="A29" s="29"/>
      <c r="B29" s="30"/>
      <c r="C29" s="31"/>
      <c r="D29" s="31"/>
      <c r="E29" s="33"/>
      <c r="F29" s="32"/>
      <c r="G29" s="32"/>
    </row>
    <row r="30" spans="1:7" ht="15.75" thickBot="1" x14ac:dyDescent="0.3"/>
    <row r="31" spans="1:7" ht="16.5" thickTop="1" thickBot="1" x14ac:dyDescent="0.3">
      <c r="A31" s="6" t="s">
        <v>0</v>
      </c>
      <c r="B31" s="7" t="s">
        <v>1</v>
      </c>
      <c r="C31" s="6" t="s">
        <v>2</v>
      </c>
      <c r="D31" s="6" t="s">
        <v>14</v>
      </c>
      <c r="E31" s="13" t="s">
        <v>21</v>
      </c>
      <c r="F31" s="12" t="s">
        <v>22</v>
      </c>
      <c r="G31" s="27" t="s">
        <v>26</v>
      </c>
    </row>
    <row r="32" spans="1:7" ht="16.5" thickTop="1" thickBot="1" x14ac:dyDescent="0.3">
      <c r="A32" s="1">
        <v>1</v>
      </c>
      <c r="B32" s="2" t="s">
        <v>3</v>
      </c>
      <c r="C32" s="3">
        <v>13942</v>
      </c>
      <c r="D32" s="3" t="s">
        <v>15</v>
      </c>
      <c r="E32" s="16">
        <v>60</v>
      </c>
      <c r="F32" s="17"/>
      <c r="G32" s="28"/>
    </row>
    <row r="33" spans="1:7" ht="16.5" thickTop="1" thickBot="1" x14ac:dyDescent="0.3">
      <c r="A33" s="1">
        <v>2</v>
      </c>
      <c r="B33" s="2" t="s">
        <v>4</v>
      </c>
      <c r="C33" s="3">
        <v>7948</v>
      </c>
      <c r="D33" s="4" t="s">
        <v>16</v>
      </c>
      <c r="E33" s="16">
        <v>76.8</v>
      </c>
      <c r="F33" s="16">
        <v>60</v>
      </c>
      <c r="G33" s="28"/>
    </row>
    <row r="34" spans="1:7" ht="16.5" thickTop="1" thickBot="1" x14ac:dyDescent="0.3">
      <c r="A34" s="1">
        <v>3</v>
      </c>
      <c r="B34" s="2" t="s">
        <v>5</v>
      </c>
      <c r="C34" s="3">
        <v>13949</v>
      </c>
      <c r="D34" s="4" t="s">
        <v>15</v>
      </c>
      <c r="E34" s="16">
        <v>140</v>
      </c>
      <c r="F34" s="16">
        <v>55</v>
      </c>
      <c r="G34" s="28"/>
    </row>
    <row r="35" spans="1:7" ht="16.5" thickTop="1" thickBot="1" x14ac:dyDescent="0.3">
      <c r="A35" s="1">
        <v>4</v>
      </c>
      <c r="B35" s="2" t="s">
        <v>6</v>
      </c>
      <c r="C35" s="3">
        <v>13941</v>
      </c>
      <c r="D35" s="3" t="s">
        <v>15</v>
      </c>
      <c r="E35" s="16">
        <v>120</v>
      </c>
      <c r="F35" s="16">
        <v>70</v>
      </c>
      <c r="G35" s="28"/>
    </row>
    <row r="36" spans="1:7" ht="16.5" thickTop="1" thickBot="1" x14ac:dyDescent="0.3">
      <c r="A36" s="1">
        <v>5</v>
      </c>
      <c r="B36" s="2" t="s">
        <v>7</v>
      </c>
      <c r="C36" s="3">
        <v>7949</v>
      </c>
      <c r="D36" s="3" t="s">
        <v>16</v>
      </c>
      <c r="E36" s="16">
        <v>105</v>
      </c>
      <c r="F36" s="16">
        <v>82.5</v>
      </c>
      <c r="G36" s="28"/>
    </row>
    <row r="37" spans="1:7" ht="16.5" thickTop="1" thickBot="1" x14ac:dyDescent="0.3">
      <c r="A37" s="1">
        <v>6</v>
      </c>
      <c r="B37" s="2" t="s">
        <v>8</v>
      </c>
      <c r="C37" s="3">
        <v>13943</v>
      </c>
      <c r="D37" s="4" t="s">
        <v>16</v>
      </c>
      <c r="E37" s="16">
        <v>150</v>
      </c>
      <c r="F37" s="16">
        <v>135</v>
      </c>
      <c r="G37" s="28"/>
    </row>
    <row r="38" spans="1:7" ht="16.5" thickTop="1" thickBot="1" x14ac:dyDescent="0.3">
      <c r="A38" s="1">
        <v>7</v>
      </c>
      <c r="B38" s="2" t="s">
        <v>9</v>
      </c>
      <c r="C38" s="3">
        <v>72481</v>
      </c>
      <c r="D38" s="3" t="s">
        <v>15</v>
      </c>
      <c r="E38" s="20"/>
      <c r="F38" s="16">
        <v>150</v>
      </c>
      <c r="G38" s="16">
        <v>45</v>
      </c>
    </row>
    <row r="39" spans="1:7" ht="16.5" thickTop="1" thickBot="1" x14ac:dyDescent="0.3">
      <c r="A39" s="1">
        <v>8</v>
      </c>
      <c r="B39" s="2" t="s">
        <v>10</v>
      </c>
      <c r="C39" s="3">
        <v>94068</v>
      </c>
      <c r="D39" s="3" t="s">
        <v>16</v>
      </c>
      <c r="E39" s="20"/>
      <c r="F39" s="17"/>
      <c r="G39" s="28"/>
    </row>
    <row r="40" spans="1:7" ht="16.5" thickTop="1" thickBot="1" x14ac:dyDescent="0.3">
      <c r="A40" s="1">
        <v>9</v>
      </c>
      <c r="B40" s="2" t="s">
        <v>11</v>
      </c>
      <c r="C40" s="3">
        <v>94069</v>
      </c>
      <c r="D40" s="3" t="s">
        <v>16</v>
      </c>
      <c r="E40" s="20"/>
      <c r="F40" s="17"/>
      <c r="G40" s="28"/>
    </row>
    <row r="41" spans="1:7" ht="16.5" thickTop="1" thickBot="1" x14ac:dyDescent="0.3">
      <c r="A41" s="1">
        <v>10</v>
      </c>
      <c r="B41" s="2" t="s">
        <v>12</v>
      </c>
      <c r="C41" s="3">
        <v>7946</v>
      </c>
      <c r="D41" s="3" t="s">
        <v>15</v>
      </c>
      <c r="E41" s="20"/>
      <c r="F41" s="17"/>
      <c r="G41" s="28"/>
    </row>
    <row r="42" spans="1:7" ht="15.75" thickTop="1" x14ac:dyDescent="0.25">
      <c r="A42" s="29"/>
      <c r="B42" s="30"/>
      <c r="C42" s="31"/>
      <c r="D42" s="31"/>
      <c r="E42" s="32"/>
      <c r="F42" s="32"/>
      <c r="G42" s="32"/>
    </row>
    <row r="43" spans="1:7" ht="15.75" thickBot="1" x14ac:dyDescent="0.3"/>
    <row r="44" spans="1:7" ht="16.5" thickTop="1" thickBot="1" x14ac:dyDescent="0.3">
      <c r="A44" s="6" t="s">
        <v>0</v>
      </c>
      <c r="B44" s="7" t="s">
        <v>1</v>
      </c>
      <c r="C44" s="6" t="s">
        <v>2</v>
      </c>
      <c r="D44" s="6" t="s">
        <v>14</v>
      </c>
      <c r="E44" s="24" t="s">
        <v>23</v>
      </c>
      <c r="F44" s="24" t="s">
        <v>25</v>
      </c>
    </row>
    <row r="45" spans="1:7" ht="16.5" thickTop="1" thickBot="1" x14ac:dyDescent="0.3">
      <c r="A45" s="1">
        <v>1</v>
      </c>
      <c r="B45" s="2" t="s">
        <v>3</v>
      </c>
      <c r="C45" s="3">
        <v>13942</v>
      </c>
      <c r="D45" s="3" t="s">
        <v>15</v>
      </c>
      <c r="E45" s="26">
        <v>299.5</v>
      </c>
      <c r="F45" s="26">
        <v>59.9</v>
      </c>
    </row>
    <row r="46" spans="1:7" ht="16.5" thickTop="1" thickBot="1" x14ac:dyDescent="0.3">
      <c r="A46" s="1">
        <v>2</v>
      </c>
      <c r="B46" s="2" t="s">
        <v>4</v>
      </c>
      <c r="C46" s="3">
        <v>7948</v>
      </c>
      <c r="D46" s="4" t="s">
        <v>16</v>
      </c>
      <c r="E46" s="25">
        <v>472.83</v>
      </c>
      <c r="F46" s="25">
        <v>78.81</v>
      </c>
    </row>
    <row r="47" spans="1:7" ht="16.5" thickTop="1" thickBot="1" x14ac:dyDescent="0.3">
      <c r="A47" s="1">
        <v>3</v>
      </c>
      <c r="B47" s="2" t="s">
        <v>5</v>
      </c>
      <c r="C47" s="3">
        <v>13949</v>
      </c>
      <c r="D47" s="4" t="s">
        <v>15</v>
      </c>
      <c r="E47" s="25">
        <v>782.25</v>
      </c>
      <c r="F47" s="25">
        <v>130.38</v>
      </c>
    </row>
    <row r="48" spans="1:7" ht="16.5" thickTop="1" thickBot="1" x14ac:dyDescent="0.3">
      <c r="A48" s="1">
        <v>4</v>
      </c>
      <c r="B48" s="2" t="s">
        <v>6</v>
      </c>
      <c r="C48" s="3">
        <v>13941</v>
      </c>
      <c r="D48" s="3" t="s">
        <v>15</v>
      </c>
      <c r="E48" s="25">
        <v>726.9</v>
      </c>
      <c r="F48" s="25">
        <v>121.15</v>
      </c>
    </row>
    <row r="49" spans="1:6" ht="16.5" thickTop="1" thickBot="1" x14ac:dyDescent="0.3">
      <c r="A49" s="1">
        <v>5</v>
      </c>
      <c r="B49" s="2" t="s">
        <v>7</v>
      </c>
      <c r="C49" s="3">
        <v>7949</v>
      </c>
      <c r="D49" s="3" t="s">
        <v>16</v>
      </c>
      <c r="E49" s="25">
        <v>631.77</v>
      </c>
      <c r="F49" s="25">
        <v>90.25</v>
      </c>
    </row>
    <row r="50" spans="1:6" ht="16.5" thickTop="1" thickBot="1" x14ac:dyDescent="0.3">
      <c r="A50" s="1">
        <v>6</v>
      </c>
      <c r="B50" s="2" t="s">
        <v>8</v>
      </c>
      <c r="C50" s="3">
        <v>13943</v>
      </c>
      <c r="D50" s="4" t="s">
        <v>16</v>
      </c>
      <c r="E50" s="26">
        <v>1096.7</v>
      </c>
      <c r="F50" s="26">
        <v>156.66999999999999</v>
      </c>
    </row>
    <row r="51" spans="1:6" ht="16.5" thickTop="1" thickBot="1" x14ac:dyDescent="0.3">
      <c r="A51" s="1">
        <v>7</v>
      </c>
      <c r="B51" s="2" t="s">
        <v>9</v>
      </c>
      <c r="C51" s="3">
        <v>72481</v>
      </c>
      <c r="D51" s="3" t="s">
        <v>15</v>
      </c>
      <c r="E51" s="25">
        <v>630</v>
      </c>
      <c r="F51" s="26">
        <v>210</v>
      </c>
    </row>
    <row r="52" spans="1:6" ht="16.5" thickTop="1" thickBot="1" x14ac:dyDescent="0.3">
      <c r="A52" s="1">
        <v>8</v>
      </c>
      <c r="B52" s="2" t="s">
        <v>10</v>
      </c>
      <c r="C52" s="3">
        <v>94068</v>
      </c>
      <c r="D52" s="3" t="s">
        <v>16</v>
      </c>
      <c r="E52" s="26">
        <v>1590</v>
      </c>
      <c r="F52" s="26">
        <v>397.5</v>
      </c>
    </row>
    <row r="53" spans="1:6" ht="16.5" thickTop="1" thickBot="1" x14ac:dyDescent="0.3">
      <c r="A53" s="1">
        <v>9</v>
      </c>
      <c r="B53" s="2" t="s">
        <v>11</v>
      </c>
      <c r="C53" s="3">
        <v>94069</v>
      </c>
      <c r="D53" s="3" t="s">
        <v>16</v>
      </c>
      <c r="E53" s="26">
        <v>1522.5</v>
      </c>
      <c r="F53" s="26">
        <v>507.5</v>
      </c>
    </row>
    <row r="54" spans="1:6" ht="16.5" thickTop="1" thickBot="1" x14ac:dyDescent="0.3">
      <c r="A54" s="1">
        <v>10</v>
      </c>
      <c r="B54" s="2" t="s">
        <v>12</v>
      </c>
      <c r="C54" s="3">
        <v>7946</v>
      </c>
      <c r="D54" s="3" t="s">
        <v>15</v>
      </c>
      <c r="E54" s="26">
        <v>450</v>
      </c>
      <c r="F54" s="26">
        <v>150</v>
      </c>
    </row>
    <row r="55" spans="1:6" ht="15.75" thickTop="1" x14ac:dyDescent="0.25"/>
  </sheetData>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4483F-212F-4582-8F50-F3D204C25DF1}">
  <sheetPr>
    <pageSetUpPr fitToPage="1"/>
  </sheetPr>
  <dimension ref="A1:D134"/>
  <sheetViews>
    <sheetView workbookViewId="0">
      <selection activeCell="A3" sqref="A3:D3"/>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180</v>
      </c>
    </row>
    <row r="14" spans="1:4" x14ac:dyDescent="0.2">
      <c r="A14" s="277" t="s">
        <v>150</v>
      </c>
      <c r="B14" s="277"/>
      <c r="C14" s="277"/>
      <c r="D14" s="111" t="s">
        <v>216</v>
      </c>
    </row>
    <row r="15" spans="1:4" x14ac:dyDescent="0.2">
      <c r="A15" s="274"/>
      <c r="B15" s="274"/>
      <c r="C15" s="274"/>
      <c r="D15" s="275"/>
    </row>
    <row r="16" spans="1:4" ht="13.5" thickBot="1" x14ac:dyDescent="0.25">
      <c r="A16" s="276" t="s">
        <v>49</v>
      </c>
      <c r="B16" s="276"/>
      <c r="C16" s="276"/>
      <c r="D16" s="276"/>
    </row>
    <row r="17" spans="1:4" x14ac:dyDescent="0.2">
      <c r="A17" s="110">
        <v>3</v>
      </c>
      <c r="B17" s="278" t="s">
        <v>194</v>
      </c>
      <c r="C17" s="279"/>
      <c r="D17" s="113">
        <v>4750</v>
      </c>
    </row>
    <row r="18" spans="1:4" x14ac:dyDescent="0.2">
      <c r="A18" s="112">
        <v>4</v>
      </c>
      <c r="B18" s="277" t="s">
        <v>51</v>
      </c>
      <c r="C18" s="277"/>
      <c r="D18" s="112" t="s">
        <v>181</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191</v>
      </c>
      <c r="C23" s="115"/>
      <c r="D23" s="116">
        <f>D17</f>
        <v>4750</v>
      </c>
    </row>
    <row r="24" spans="1:4" x14ac:dyDescent="0.2">
      <c r="A24" s="110" t="s">
        <v>35</v>
      </c>
      <c r="B24" s="110" t="s">
        <v>182</v>
      </c>
      <c r="C24" s="110"/>
      <c r="D24" s="116">
        <f>D19*0.2</f>
        <v>303.60000000000002</v>
      </c>
    </row>
    <row r="25" spans="1:4" x14ac:dyDescent="0.2">
      <c r="A25" s="110" t="s">
        <v>38</v>
      </c>
      <c r="B25" s="110" t="s">
        <v>264</v>
      </c>
      <c r="C25" s="110"/>
      <c r="D25" s="116">
        <f>D23*20%</f>
        <v>950</v>
      </c>
    </row>
    <row r="26" spans="1:4" x14ac:dyDescent="0.2">
      <c r="A26" s="284" t="s">
        <v>58</v>
      </c>
      <c r="B26" s="284"/>
      <c r="C26" s="284"/>
      <c r="D26" s="117">
        <f>SUM(D23:D25)</f>
        <v>6003.6</v>
      </c>
    </row>
    <row r="27" spans="1:4" ht="13.5" thickBot="1" x14ac:dyDescent="0.25">
      <c r="A27" s="62" t="s">
        <v>54</v>
      </c>
      <c r="B27" s="62"/>
      <c r="C27" s="62"/>
      <c r="D27" s="62"/>
    </row>
    <row r="28" spans="1:4" ht="13.5" thickBot="1" x14ac:dyDescent="0.25">
      <c r="A28" s="280" t="s">
        <v>59</v>
      </c>
      <c r="B28" s="280"/>
      <c r="C28" s="280"/>
      <c r="D28" s="280"/>
    </row>
    <row r="29" spans="1:4" x14ac:dyDescent="0.2">
      <c r="A29" s="312" t="s">
        <v>60</v>
      </c>
      <c r="B29" s="312"/>
      <c r="C29" s="312"/>
      <c r="D29" s="312"/>
    </row>
    <row r="30" spans="1:4" x14ac:dyDescent="0.2">
      <c r="A30" s="114" t="s">
        <v>61</v>
      </c>
      <c r="B30" s="284" t="s">
        <v>62</v>
      </c>
      <c r="C30" s="284"/>
      <c r="D30" s="114" t="s">
        <v>56</v>
      </c>
    </row>
    <row r="31" spans="1:4" x14ac:dyDescent="0.2">
      <c r="A31" s="111" t="s">
        <v>33</v>
      </c>
      <c r="B31" s="111" t="s">
        <v>63</v>
      </c>
      <c r="C31" s="118">
        <v>8.3299999999999999E-2</v>
      </c>
      <c r="D31" s="119">
        <f>C31*D26</f>
        <v>500.09988000000004</v>
      </c>
    </row>
    <row r="32" spans="1:4" x14ac:dyDescent="0.2">
      <c r="A32" s="111" t="s">
        <v>35</v>
      </c>
      <c r="B32" s="111" t="s">
        <v>64</v>
      </c>
      <c r="C32" s="118">
        <v>2.7799999999999998E-2</v>
      </c>
      <c r="D32" s="119">
        <f>SUM(D26*C32)</f>
        <v>166.90008</v>
      </c>
    </row>
    <row r="33" spans="1:4" x14ac:dyDescent="0.2">
      <c r="A33" s="305" t="s">
        <v>131</v>
      </c>
      <c r="B33" s="306"/>
      <c r="C33" s="120">
        <f>SUM(C31+C32)</f>
        <v>0.1111</v>
      </c>
      <c r="D33" s="121">
        <f>SUM(D31:D32)</f>
        <v>666.9999600000001</v>
      </c>
    </row>
    <row r="34" spans="1:4" x14ac:dyDescent="0.2">
      <c r="A34" s="313" t="s">
        <v>130</v>
      </c>
      <c r="B34" s="293"/>
      <c r="C34" s="123">
        <f>SUM(C39:C46)</f>
        <v>0.36800000000000005</v>
      </c>
      <c r="D34" s="119">
        <f>SUM(D33*C34)</f>
        <v>245.45598528000008</v>
      </c>
    </row>
    <row r="35" spans="1:4" x14ac:dyDescent="0.2">
      <c r="A35" s="307" t="s">
        <v>58</v>
      </c>
      <c r="B35" s="308"/>
      <c r="C35" s="309"/>
      <c r="D35" s="124">
        <f>SUM(D33+D34)</f>
        <v>912.45594528000015</v>
      </c>
    </row>
    <row r="36" spans="1:4" x14ac:dyDescent="0.2">
      <c r="A36" s="304"/>
      <c r="B36" s="304"/>
      <c r="C36" s="304"/>
      <c r="D36" s="304"/>
    </row>
    <row r="37" spans="1:4" x14ac:dyDescent="0.2">
      <c r="A37" s="296" t="s">
        <v>65</v>
      </c>
      <c r="B37" s="296"/>
      <c r="C37" s="296"/>
      <c r="D37" s="296"/>
    </row>
    <row r="38" spans="1:4" x14ac:dyDescent="0.2">
      <c r="A38" s="126" t="s">
        <v>66</v>
      </c>
      <c r="B38" s="126" t="s">
        <v>67</v>
      </c>
      <c r="C38" s="126" t="s">
        <v>68</v>
      </c>
      <c r="D38" s="126" t="s">
        <v>56</v>
      </c>
    </row>
    <row r="39" spans="1:4" x14ac:dyDescent="0.2">
      <c r="A39" s="127" t="s">
        <v>33</v>
      </c>
      <c r="B39" s="127" t="s">
        <v>69</v>
      </c>
      <c r="C39" s="123">
        <v>0.2</v>
      </c>
      <c r="D39" s="116">
        <f>D26*C39</f>
        <v>1200.72</v>
      </c>
    </row>
    <row r="40" spans="1:4" x14ac:dyDescent="0.2">
      <c r="A40" s="127" t="s">
        <v>35</v>
      </c>
      <c r="B40" s="127" t="s">
        <v>70</v>
      </c>
      <c r="C40" s="123">
        <v>2.5000000000000001E-2</v>
      </c>
      <c r="D40" s="116">
        <f>D26*C40</f>
        <v>150.09</v>
      </c>
    </row>
    <row r="41" spans="1:4" x14ac:dyDescent="0.2">
      <c r="A41" s="127" t="s">
        <v>38</v>
      </c>
      <c r="B41" s="128" t="s">
        <v>71</v>
      </c>
      <c r="C41" s="129">
        <v>0.03</v>
      </c>
      <c r="D41" s="116">
        <f>D26*C41</f>
        <v>180.108</v>
      </c>
    </row>
    <row r="42" spans="1:4" x14ac:dyDescent="0.2">
      <c r="A42" s="127" t="s">
        <v>57</v>
      </c>
      <c r="B42" s="127" t="s">
        <v>72</v>
      </c>
      <c r="C42" s="123">
        <v>1.4999999999999999E-2</v>
      </c>
      <c r="D42" s="116">
        <f>D26*C42</f>
        <v>90.054000000000002</v>
      </c>
    </row>
    <row r="43" spans="1:4" x14ac:dyDescent="0.2">
      <c r="A43" s="127" t="s">
        <v>41</v>
      </c>
      <c r="B43" s="127" t="s">
        <v>73</v>
      </c>
      <c r="C43" s="123">
        <v>0.01</v>
      </c>
      <c r="D43" s="116">
        <f>D26*C43</f>
        <v>60.036000000000001</v>
      </c>
    </row>
    <row r="44" spans="1:4" x14ac:dyDescent="0.2">
      <c r="A44" s="127" t="s">
        <v>42</v>
      </c>
      <c r="B44" s="127" t="s">
        <v>74</v>
      </c>
      <c r="C44" s="123">
        <v>6.0000000000000001E-3</v>
      </c>
      <c r="D44" s="116">
        <f>D26*C44</f>
        <v>36.021599999999999</v>
      </c>
    </row>
    <row r="45" spans="1:4" x14ac:dyDescent="0.2">
      <c r="A45" s="127" t="s">
        <v>43</v>
      </c>
      <c r="B45" s="127" t="s">
        <v>75</v>
      </c>
      <c r="C45" s="123">
        <v>2E-3</v>
      </c>
      <c r="D45" s="116">
        <f>D26*C45</f>
        <v>12.007200000000001</v>
      </c>
    </row>
    <row r="46" spans="1:4" x14ac:dyDescent="0.2">
      <c r="A46" s="127" t="s">
        <v>44</v>
      </c>
      <c r="B46" s="127" t="s">
        <v>76</v>
      </c>
      <c r="C46" s="123">
        <v>0.08</v>
      </c>
      <c r="D46" s="116">
        <f>D26*C46</f>
        <v>480.28800000000001</v>
      </c>
    </row>
    <row r="47" spans="1:4" x14ac:dyDescent="0.2">
      <c r="A47" s="127"/>
      <c r="B47" s="126" t="s">
        <v>58</v>
      </c>
      <c r="C47" s="123">
        <f>SUM(C39:C46)</f>
        <v>0.36800000000000005</v>
      </c>
      <c r="D47" s="117">
        <f>SUM(D39:D46)</f>
        <v>2209.3248000000003</v>
      </c>
    </row>
    <row r="48" spans="1:4" x14ac:dyDescent="0.2">
      <c r="A48" s="304"/>
      <c r="B48" s="304"/>
      <c r="C48" s="304"/>
      <c r="D48" s="304"/>
    </row>
    <row r="49" spans="1:4" x14ac:dyDescent="0.2">
      <c r="A49" s="296" t="s">
        <v>77</v>
      </c>
      <c r="B49" s="296"/>
      <c r="C49" s="296"/>
      <c r="D49" s="296"/>
    </row>
    <row r="50" spans="1:4" x14ac:dyDescent="0.2">
      <c r="A50" s="114" t="s">
        <v>78</v>
      </c>
      <c r="B50" s="284" t="s">
        <v>79</v>
      </c>
      <c r="C50" s="284"/>
      <c r="D50" s="114" t="s">
        <v>56</v>
      </c>
    </row>
    <row r="51" spans="1:4" s="131" customFormat="1" ht="23.25" customHeight="1" x14ac:dyDescent="0.25">
      <c r="A51" s="110" t="s">
        <v>33</v>
      </c>
      <c r="B51" s="110" t="s">
        <v>214</v>
      </c>
      <c r="C51" s="130">
        <v>5.15</v>
      </c>
      <c r="D51" s="119">
        <f>(2*5.15*24) - (D20*6%)</f>
        <v>247.20000000000002</v>
      </c>
    </row>
    <row r="52" spans="1:4" x14ac:dyDescent="0.2">
      <c r="A52" s="110" t="s">
        <v>35</v>
      </c>
      <c r="B52" s="132" t="s">
        <v>215</v>
      </c>
      <c r="C52" s="133">
        <v>27.29</v>
      </c>
      <c r="D52" s="134">
        <f>(C52*22)-142.69</f>
        <v>457.69</v>
      </c>
    </row>
    <row r="53" spans="1:4" x14ac:dyDescent="0.2">
      <c r="A53" s="110" t="s">
        <v>38</v>
      </c>
      <c r="B53" s="110" t="s">
        <v>243</v>
      </c>
      <c r="C53" s="167">
        <v>0</v>
      </c>
      <c r="D53" s="136">
        <v>49.23</v>
      </c>
    </row>
    <row r="54" spans="1:4" x14ac:dyDescent="0.2">
      <c r="A54" s="284" t="s">
        <v>58</v>
      </c>
      <c r="B54" s="284"/>
      <c r="C54" s="284"/>
      <c r="D54" s="121">
        <f>SUM(D51:D53)</f>
        <v>754.12</v>
      </c>
    </row>
    <row r="55" spans="1:4" x14ac:dyDescent="0.2">
      <c r="A55" s="327"/>
      <c r="B55" s="327"/>
      <c r="C55" s="327"/>
      <c r="D55" s="327"/>
    </row>
    <row r="56" spans="1:4" x14ac:dyDescent="0.2">
      <c r="A56" s="287" t="s">
        <v>80</v>
      </c>
      <c r="B56" s="288"/>
      <c r="C56" s="288"/>
      <c r="D56" s="289"/>
    </row>
    <row r="57" spans="1:4" x14ac:dyDescent="0.2">
      <c r="A57" s="114">
        <v>2</v>
      </c>
      <c r="B57" s="284" t="s">
        <v>81</v>
      </c>
      <c r="C57" s="284"/>
      <c r="D57" s="114" t="s">
        <v>56</v>
      </c>
    </row>
    <row r="58" spans="1:4" x14ac:dyDescent="0.2">
      <c r="A58" s="110" t="s">
        <v>61</v>
      </c>
      <c r="B58" s="297" t="s">
        <v>82</v>
      </c>
      <c r="C58" s="297"/>
      <c r="D58" s="116">
        <f>D35</f>
        <v>912.45594528000015</v>
      </c>
    </row>
    <row r="59" spans="1:4" x14ac:dyDescent="0.2">
      <c r="A59" s="110" t="s">
        <v>66</v>
      </c>
      <c r="B59" s="297" t="s">
        <v>67</v>
      </c>
      <c r="C59" s="297"/>
      <c r="D59" s="116">
        <f>D47</f>
        <v>2209.3248000000003</v>
      </c>
    </row>
    <row r="60" spans="1:4" x14ac:dyDescent="0.2">
      <c r="A60" s="110" t="s">
        <v>78</v>
      </c>
      <c r="B60" s="297" t="s">
        <v>79</v>
      </c>
      <c r="C60" s="297"/>
      <c r="D60" s="116">
        <f>D54</f>
        <v>754.12</v>
      </c>
    </row>
    <row r="61" spans="1:4" x14ac:dyDescent="0.2">
      <c r="A61" s="284" t="s">
        <v>58</v>
      </c>
      <c r="B61" s="284"/>
      <c r="C61" s="284"/>
      <c r="D61" s="117">
        <f>SUM(D58:D60)</f>
        <v>3875.9007452800006</v>
      </c>
    </row>
    <row r="62" spans="1:4" x14ac:dyDescent="0.2">
      <c r="A62" s="137"/>
      <c r="B62" s="137"/>
      <c r="C62" s="137"/>
      <c r="D62" s="138"/>
    </row>
    <row r="63" spans="1:4" x14ac:dyDescent="0.2">
      <c r="A63" s="324" t="s">
        <v>137</v>
      </c>
      <c r="B63" s="325"/>
      <c r="C63" s="325"/>
      <c r="D63" s="326"/>
    </row>
    <row r="64" spans="1:4" x14ac:dyDescent="0.2">
      <c r="A64" s="122">
        <v>3</v>
      </c>
      <c r="B64" s="114" t="s">
        <v>83</v>
      </c>
      <c r="C64" s="114" t="s">
        <v>84</v>
      </c>
      <c r="D64" s="114" t="s">
        <v>56</v>
      </c>
    </row>
    <row r="65" spans="1:4" x14ac:dyDescent="0.2">
      <c r="A65" s="111" t="s">
        <v>33</v>
      </c>
      <c r="B65" s="111" t="s">
        <v>85</v>
      </c>
      <c r="C65" s="139">
        <v>4.1700000000000001E-3</v>
      </c>
      <c r="D65" s="140">
        <f>D26*C65</f>
        <v>25.035012000000002</v>
      </c>
    </row>
    <row r="66" spans="1:4" x14ac:dyDescent="0.2">
      <c r="A66" s="111" t="s">
        <v>35</v>
      </c>
      <c r="B66" s="111" t="s">
        <v>86</v>
      </c>
      <c r="C66" s="141">
        <v>3.3399999999999999E-4</v>
      </c>
      <c r="D66" s="142">
        <f>D26*C66</f>
        <v>2.0052023999999999</v>
      </c>
    </row>
    <row r="67" spans="1:4" x14ac:dyDescent="0.2">
      <c r="A67" s="63" t="s">
        <v>38</v>
      </c>
      <c r="B67" s="63" t="s">
        <v>87</v>
      </c>
      <c r="C67" s="143">
        <v>1.6000000000000001E-3</v>
      </c>
      <c r="D67" s="144">
        <f>SUM(D26+D33)*C67</f>
        <v>10.672959936000002</v>
      </c>
    </row>
    <row r="68" spans="1:4" x14ac:dyDescent="0.2">
      <c r="A68" s="111" t="s">
        <v>57</v>
      </c>
      <c r="B68" s="111" t="s">
        <v>88</v>
      </c>
      <c r="C68" s="145">
        <v>1.84E-2</v>
      </c>
      <c r="D68" s="140">
        <f>D26*C68</f>
        <v>110.46624</v>
      </c>
    </row>
    <row r="69" spans="1:4" x14ac:dyDescent="0.2">
      <c r="A69" s="110" t="s">
        <v>41</v>
      </c>
      <c r="B69" s="110" t="s">
        <v>89</v>
      </c>
      <c r="C69" s="146">
        <v>5.4000000000000003E-3</v>
      </c>
      <c r="D69" s="147">
        <f>D26*C69</f>
        <v>32.419440000000002</v>
      </c>
    </row>
    <row r="70" spans="1:4" x14ac:dyDescent="0.2">
      <c r="A70" s="63" t="s">
        <v>42</v>
      </c>
      <c r="B70" s="63" t="s">
        <v>90</v>
      </c>
      <c r="C70" s="143">
        <v>3.04E-2</v>
      </c>
      <c r="D70" s="144">
        <f>(D26+D33)*C70</f>
        <v>202.78623878400001</v>
      </c>
    </row>
    <row r="71" spans="1:4" x14ac:dyDescent="0.2">
      <c r="A71" s="293" t="s">
        <v>58</v>
      </c>
      <c r="B71" s="293"/>
      <c r="C71" s="293"/>
      <c r="D71" s="121">
        <f>SUM(D65:D70)</f>
        <v>383.38509312000002</v>
      </c>
    </row>
    <row r="72" spans="1:4" x14ac:dyDescent="0.2">
      <c r="A72" s="148"/>
      <c r="B72" s="148"/>
      <c r="C72" s="148"/>
      <c r="D72" s="149"/>
    </row>
    <row r="73" spans="1:4" x14ac:dyDescent="0.2">
      <c r="A73" s="330" t="s">
        <v>132</v>
      </c>
      <c r="B73" s="331"/>
      <c r="C73" s="331"/>
      <c r="D73" s="332"/>
    </row>
    <row r="74" spans="1:4" x14ac:dyDescent="0.2">
      <c r="A74" s="111" t="s">
        <v>33</v>
      </c>
      <c r="B74" s="111" t="s">
        <v>133</v>
      </c>
      <c r="C74" s="122"/>
      <c r="D74" s="121">
        <f>D26</f>
        <v>6003.6</v>
      </c>
    </row>
    <row r="75" spans="1:4" x14ac:dyDescent="0.2">
      <c r="A75" s="111" t="s">
        <v>35</v>
      </c>
      <c r="B75" s="111" t="s">
        <v>117</v>
      </c>
      <c r="C75" s="122"/>
      <c r="D75" s="121">
        <f>D61</f>
        <v>3875.9007452800006</v>
      </c>
    </row>
    <row r="76" spans="1:4" x14ac:dyDescent="0.2">
      <c r="A76" s="63" t="s">
        <v>38</v>
      </c>
      <c r="B76" s="63" t="s">
        <v>134</v>
      </c>
      <c r="C76" s="150">
        <f>D74/12</f>
        <v>500.3</v>
      </c>
      <c r="D76" s="150">
        <f>C76*C47+C76</f>
        <v>684.41039999999998</v>
      </c>
    </row>
    <row r="77" spans="1:4" x14ac:dyDescent="0.2">
      <c r="A77" s="111" t="s">
        <v>57</v>
      </c>
      <c r="B77" s="111" t="s">
        <v>118</v>
      </c>
      <c r="C77" s="122"/>
      <c r="D77" s="121">
        <f>D71</f>
        <v>383.38509312000002</v>
      </c>
    </row>
    <row r="78" spans="1:4" x14ac:dyDescent="0.2">
      <c r="A78" s="111" t="s">
        <v>41</v>
      </c>
      <c r="B78" s="111" t="s">
        <v>135</v>
      </c>
      <c r="C78" s="122"/>
      <c r="D78" s="168">
        <f>-(D51+D52)</f>
        <v>-704.89</v>
      </c>
    </row>
    <row r="79" spans="1:4" x14ac:dyDescent="0.2">
      <c r="A79" s="293" t="s">
        <v>136</v>
      </c>
      <c r="B79" s="293"/>
      <c r="C79" s="293"/>
      <c r="D79" s="121">
        <f>SUM(D74:D78)</f>
        <v>10242.406238400003</v>
      </c>
    </row>
    <row r="80" spans="1:4" ht="13.5" thickBot="1" x14ac:dyDescent="0.25">
      <c r="A80" s="148"/>
      <c r="B80" s="148"/>
      <c r="C80" s="148"/>
      <c r="D80" s="148"/>
    </row>
    <row r="81" spans="1:4" ht="13.5" thickBot="1" x14ac:dyDescent="0.25">
      <c r="A81" s="333" t="s">
        <v>91</v>
      </c>
      <c r="B81" s="334"/>
      <c r="C81" s="334"/>
      <c r="D81" s="335"/>
    </row>
    <row r="82" spans="1:4" x14ac:dyDescent="0.2">
      <c r="A82" s="336" t="s">
        <v>92</v>
      </c>
      <c r="B82" s="337"/>
      <c r="C82" s="337"/>
      <c r="D82" s="338"/>
    </row>
    <row r="83" spans="1:4" x14ac:dyDescent="0.2">
      <c r="A83" s="114" t="s">
        <v>93</v>
      </c>
      <c r="B83" s="114" t="s">
        <v>94</v>
      </c>
      <c r="C83" s="114" t="s">
        <v>84</v>
      </c>
      <c r="D83" s="114" t="s">
        <v>56</v>
      </c>
    </row>
    <row r="84" spans="1:4" x14ac:dyDescent="0.2">
      <c r="A84" s="111" t="s">
        <v>33</v>
      </c>
      <c r="B84" s="110" t="s">
        <v>95</v>
      </c>
      <c r="C84" s="123">
        <v>8.3299999999999999E-2</v>
      </c>
      <c r="D84" s="119">
        <f>D79*C84</f>
        <v>853.19243965872022</v>
      </c>
    </row>
    <row r="85" spans="1:4" x14ac:dyDescent="0.2">
      <c r="A85" s="111" t="s">
        <v>35</v>
      </c>
      <c r="B85" s="110" t="s">
        <v>138</v>
      </c>
      <c r="C85" s="151">
        <v>2.2200000000000002E-3</v>
      </c>
      <c r="D85" s="119">
        <f>D79*C85</f>
        <v>22.738141849248009</v>
      </c>
    </row>
    <row r="86" spans="1:4" x14ac:dyDescent="0.2">
      <c r="A86" s="111" t="s">
        <v>38</v>
      </c>
      <c r="B86" s="110" t="s">
        <v>96</v>
      </c>
      <c r="C86" s="151">
        <v>2.0000000000000001E-4</v>
      </c>
      <c r="D86" s="119">
        <f>D79*C86</f>
        <v>2.0484812476800007</v>
      </c>
    </row>
    <row r="87" spans="1:4" x14ac:dyDescent="0.2">
      <c r="A87" s="111" t="s">
        <v>57</v>
      </c>
      <c r="B87" s="110" t="s">
        <v>97</v>
      </c>
      <c r="C87" s="151">
        <v>2.7999999999999998E-4</v>
      </c>
      <c r="D87" s="119">
        <f>D79*C87</f>
        <v>2.8678737467520006</v>
      </c>
    </row>
    <row r="88" spans="1:4" x14ac:dyDescent="0.2">
      <c r="A88" s="111"/>
      <c r="B88" s="110" t="s">
        <v>139</v>
      </c>
      <c r="C88" s="151">
        <v>3.5999999999999999E-3</v>
      </c>
      <c r="D88" s="119">
        <f>D79*C88</f>
        <v>36.872662458240008</v>
      </c>
    </row>
    <row r="89" spans="1:4" x14ac:dyDescent="0.2">
      <c r="A89" s="111" t="s">
        <v>41</v>
      </c>
      <c r="B89" s="110" t="s">
        <v>98</v>
      </c>
      <c r="C89" s="151">
        <v>3.8999999999999999E-4</v>
      </c>
      <c r="D89" s="119">
        <f>D79*C89</f>
        <v>3.9945384329760008</v>
      </c>
    </row>
    <row r="90" spans="1:4" x14ac:dyDescent="0.2">
      <c r="A90" s="111" t="s">
        <v>42</v>
      </c>
      <c r="B90" s="110" t="s">
        <v>126</v>
      </c>
      <c r="C90" s="146"/>
      <c r="D90" s="119">
        <f>(($D$26+$D$61+$D$71)-$D$51)*C90</f>
        <v>0</v>
      </c>
    </row>
    <row r="91" spans="1:4" x14ac:dyDescent="0.2">
      <c r="A91" s="122" t="s">
        <v>58</v>
      </c>
      <c r="B91" s="122"/>
      <c r="C91" s="122"/>
      <c r="D91" s="121">
        <f>SUM(D84:D90)</f>
        <v>921.71413739361628</v>
      </c>
    </row>
    <row r="92" spans="1:4" x14ac:dyDescent="0.2">
      <c r="A92" s="290" t="s">
        <v>99</v>
      </c>
      <c r="B92" s="291"/>
      <c r="C92" s="291"/>
      <c r="D92" s="292"/>
    </row>
    <row r="93" spans="1:4" x14ac:dyDescent="0.2">
      <c r="A93" s="122" t="s">
        <v>100</v>
      </c>
      <c r="B93" s="111" t="s">
        <v>101</v>
      </c>
      <c r="C93" s="111"/>
      <c r="D93" s="114" t="s">
        <v>56</v>
      </c>
    </row>
    <row r="94" spans="1:4" x14ac:dyDescent="0.2">
      <c r="A94" s="111" t="s">
        <v>33</v>
      </c>
      <c r="B94" s="111" t="s">
        <v>102</v>
      </c>
      <c r="C94" s="111"/>
      <c r="D94" s="119">
        <v>0</v>
      </c>
    </row>
    <row r="95" spans="1:4" x14ac:dyDescent="0.2">
      <c r="A95" s="122" t="s">
        <v>58</v>
      </c>
      <c r="B95" s="122"/>
      <c r="C95" s="122"/>
      <c r="D95" s="121"/>
    </row>
    <row r="96" spans="1:4" x14ac:dyDescent="0.2">
      <c r="A96" s="125"/>
      <c r="B96" s="125"/>
      <c r="C96" s="125"/>
      <c r="D96" s="125"/>
    </row>
    <row r="97" spans="1:4" x14ac:dyDescent="0.2">
      <c r="A97" s="287" t="s">
        <v>103</v>
      </c>
      <c r="B97" s="288"/>
      <c r="C97" s="288"/>
      <c r="D97" s="289"/>
    </row>
    <row r="98" spans="1:4" x14ac:dyDescent="0.2">
      <c r="A98" s="114">
        <v>4</v>
      </c>
      <c r="B98" s="152" t="s">
        <v>104</v>
      </c>
      <c r="C98" s="153"/>
      <c r="D98" s="114" t="s">
        <v>56</v>
      </c>
    </row>
    <row r="99" spans="1:4" x14ac:dyDescent="0.2">
      <c r="A99" s="110" t="s">
        <v>93</v>
      </c>
      <c r="B99" s="154" t="s">
        <v>94</v>
      </c>
      <c r="C99" s="155"/>
      <c r="D99" s="156">
        <f>D91</f>
        <v>921.71413739361628</v>
      </c>
    </row>
    <row r="100" spans="1:4" x14ac:dyDescent="0.2">
      <c r="A100" s="110" t="s">
        <v>100</v>
      </c>
      <c r="B100" s="154" t="s">
        <v>101</v>
      </c>
      <c r="C100" s="155"/>
      <c r="D100" s="119">
        <f>D95</f>
        <v>0</v>
      </c>
    </row>
    <row r="101" spans="1:4" x14ac:dyDescent="0.2">
      <c r="A101" s="157" t="s">
        <v>58</v>
      </c>
      <c r="B101" s="158"/>
      <c r="C101" s="159"/>
      <c r="D101" s="121">
        <f>SUM(D99:D100)</f>
        <v>921.71413739361628</v>
      </c>
    </row>
    <row r="102" spans="1:4" x14ac:dyDescent="0.2">
      <c r="A102" s="62" t="s">
        <v>54</v>
      </c>
      <c r="B102" s="62"/>
      <c r="C102" s="62"/>
      <c r="D102" s="62"/>
    </row>
    <row r="103" spans="1:4" x14ac:dyDescent="0.2">
      <c r="A103" s="287" t="s">
        <v>105</v>
      </c>
      <c r="B103" s="288"/>
      <c r="C103" s="288"/>
      <c r="D103" s="289"/>
    </row>
    <row r="104" spans="1:4" x14ac:dyDescent="0.2">
      <c r="A104" s="114">
        <v>5</v>
      </c>
      <c r="B104" s="114" t="s">
        <v>106</v>
      </c>
      <c r="C104" s="114"/>
      <c r="D104" s="114" t="s">
        <v>56</v>
      </c>
    </row>
    <row r="105" spans="1:4" x14ac:dyDescent="0.2">
      <c r="A105" s="132" t="s">
        <v>33</v>
      </c>
      <c r="B105" s="160" t="s">
        <v>141</v>
      </c>
      <c r="C105" s="160"/>
      <c r="D105" s="136">
        <v>137.56</v>
      </c>
    </row>
    <row r="106" spans="1:4" x14ac:dyDescent="0.2">
      <c r="A106" s="110" t="s">
        <v>35</v>
      </c>
      <c r="B106" s="110" t="s">
        <v>164</v>
      </c>
      <c r="C106" s="114"/>
      <c r="D106" s="116">
        <v>0</v>
      </c>
    </row>
    <row r="107" spans="1:4" x14ac:dyDescent="0.2">
      <c r="A107" s="114" t="s">
        <v>58</v>
      </c>
      <c r="B107" s="114"/>
      <c r="C107" s="114"/>
      <c r="D107" s="117">
        <f>D105+D106</f>
        <v>137.56</v>
      </c>
    </row>
    <row r="108" spans="1:4" x14ac:dyDescent="0.2">
      <c r="A108" s="339"/>
      <c r="B108" s="339"/>
      <c r="C108" s="339"/>
      <c r="D108" s="339"/>
    </row>
    <row r="109" spans="1:4" x14ac:dyDescent="0.2">
      <c r="A109" s="287" t="s">
        <v>107</v>
      </c>
      <c r="B109" s="288"/>
      <c r="C109" s="288"/>
      <c r="D109" s="289"/>
    </row>
    <row r="110" spans="1:4" x14ac:dyDescent="0.2">
      <c r="A110" s="114">
        <v>6</v>
      </c>
      <c r="B110" s="114" t="s">
        <v>108</v>
      </c>
      <c r="C110" s="114" t="s">
        <v>68</v>
      </c>
      <c r="D110" s="114" t="s">
        <v>56</v>
      </c>
    </row>
    <row r="111" spans="1:4" x14ac:dyDescent="0.2">
      <c r="A111" s="110" t="s">
        <v>33</v>
      </c>
      <c r="B111" s="160" t="s">
        <v>109</v>
      </c>
      <c r="C111" s="161">
        <v>0.05</v>
      </c>
      <c r="D111" s="116">
        <f>C111*D127</f>
        <v>566.10799878968089</v>
      </c>
    </row>
    <row r="112" spans="1:4" x14ac:dyDescent="0.2">
      <c r="A112" s="110" t="s">
        <v>35</v>
      </c>
      <c r="B112" s="160" t="s">
        <v>110</v>
      </c>
      <c r="C112" s="161">
        <v>0.1</v>
      </c>
      <c r="D112" s="116">
        <f>C112*(D111+D127)</f>
        <v>1188.8267974583298</v>
      </c>
    </row>
    <row r="113" spans="1:4" x14ac:dyDescent="0.2">
      <c r="A113" s="110" t="s">
        <v>38</v>
      </c>
      <c r="B113" s="160" t="s">
        <v>111</v>
      </c>
      <c r="C113" s="162">
        <f>SUM(C114:C116)</f>
        <v>5.6499999999999995E-2</v>
      </c>
      <c r="D113" s="116">
        <f>(D26+D61+D71+D101+D106+D111+D112)*(C114+C115+C116)/(1-(C114+C115+C116))</f>
        <v>774.86350251229669</v>
      </c>
    </row>
    <row r="114" spans="1:4" x14ac:dyDescent="0.2">
      <c r="A114" s="110"/>
      <c r="B114" s="132" t="s">
        <v>112</v>
      </c>
      <c r="C114" s="162">
        <v>6.4999999999999997E-3</v>
      </c>
      <c r="D114" s="116">
        <f>C114*D129</f>
        <v>90.037728784600489</v>
      </c>
    </row>
    <row r="115" spans="1:4" x14ac:dyDescent="0.2">
      <c r="A115" s="110"/>
      <c r="B115" s="132" t="s">
        <v>113</v>
      </c>
      <c r="C115" s="162">
        <v>0.03</v>
      </c>
      <c r="D115" s="116">
        <f>C115*D129</f>
        <v>415.55874823661765</v>
      </c>
    </row>
    <row r="116" spans="1:4" x14ac:dyDescent="0.2">
      <c r="A116" s="110"/>
      <c r="B116" s="110" t="s">
        <v>114</v>
      </c>
      <c r="C116" s="163">
        <v>0.02</v>
      </c>
      <c r="D116" s="116">
        <f>C116*D129</f>
        <v>277.03916549107845</v>
      </c>
    </row>
    <row r="117" spans="1:4" x14ac:dyDescent="0.2">
      <c r="A117" s="114" t="s">
        <v>58</v>
      </c>
      <c r="B117" s="114"/>
      <c r="C117" s="114"/>
      <c r="D117" s="117">
        <f>SUM(D111:D113)</f>
        <v>2529.7982987603073</v>
      </c>
    </row>
    <row r="118" spans="1:4" x14ac:dyDescent="0.2">
      <c r="A118" s="62"/>
      <c r="B118" s="62"/>
      <c r="C118" s="62"/>
      <c r="D118" s="62"/>
    </row>
    <row r="119" spans="1:4" x14ac:dyDescent="0.2">
      <c r="A119" s="321" t="s">
        <v>115</v>
      </c>
      <c r="B119" s="322"/>
      <c r="C119" s="322"/>
      <c r="D119" s="323"/>
    </row>
    <row r="120" spans="1:4" x14ac:dyDescent="0.2">
      <c r="A120" s="62" t="s">
        <v>54</v>
      </c>
      <c r="B120" s="62"/>
      <c r="C120" s="62"/>
      <c r="D120" s="62"/>
    </row>
    <row r="121" spans="1:4" x14ac:dyDescent="0.2">
      <c r="A121" s="110"/>
      <c r="B121" s="114" t="s">
        <v>116</v>
      </c>
      <c r="C121" s="114"/>
      <c r="D121" s="114" t="s">
        <v>56</v>
      </c>
    </row>
    <row r="122" spans="1:4" x14ac:dyDescent="0.2">
      <c r="A122" s="110" t="s">
        <v>33</v>
      </c>
      <c r="B122" s="285" t="s">
        <v>53</v>
      </c>
      <c r="C122" s="286"/>
      <c r="D122" s="116">
        <f>D26</f>
        <v>6003.6</v>
      </c>
    </row>
    <row r="123" spans="1:4" x14ac:dyDescent="0.2">
      <c r="A123" s="110" t="s">
        <v>35</v>
      </c>
      <c r="B123" s="285" t="s">
        <v>117</v>
      </c>
      <c r="C123" s="286"/>
      <c r="D123" s="116">
        <f>D61</f>
        <v>3875.9007452800006</v>
      </c>
    </row>
    <row r="124" spans="1:4" x14ac:dyDescent="0.2">
      <c r="A124" s="110" t="s">
        <v>38</v>
      </c>
      <c r="B124" s="285" t="s">
        <v>118</v>
      </c>
      <c r="C124" s="286"/>
      <c r="D124" s="116">
        <f>D71</f>
        <v>383.38509312000002</v>
      </c>
    </row>
    <row r="125" spans="1:4" x14ac:dyDescent="0.2">
      <c r="A125" s="110" t="s">
        <v>57</v>
      </c>
      <c r="B125" s="285" t="s">
        <v>119</v>
      </c>
      <c r="C125" s="286"/>
      <c r="D125" s="116">
        <f>D101</f>
        <v>921.71413739361628</v>
      </c>
    </row>
    <row r="126" spans="1:4" x14ac:dyDescent="0.2">
      <c r="A126" s="110" t="s">
        <v>41</v>
      </c>
      <c r="B126" s="285" t="s">
        <v>120</v>
      </c>
      <c r="C126" s="286"/>
      <c r="D126" s="116">
        <f>D107</f>
        <v>137.56</v>
      </c>
    </row>
    <row r="127" spans="1:4" x14ac:dyDescent="0.2">
      <c r="A127" s="281" t="s">
        <v>121</v>
      </c>
      <c r="B127" s="282"/>
      <c r="C127" s="283"/>
      <c r="D127" s="117">
        <f>SUM(D122:D126)</f>
        <v>11322.159975793616</v>
      </c>
    </row>
    <row r="128" spans="1:4" x14ac:dyDescent="0.2">
      <c r="A128" s="110" t="s">
        <v>42</v>
      </c>
      <c r="B128" s="285" t="s">
        <v>122</v>
      </c>
      <c r="C128" s="286"/>
      <c r="D128" s="116">
        <f>D117</f>
        <v>2529.7982987603073</v>
      </c>
    </row>
    <row r="129" spans="1:4" x14ac:dyDescent="0.2">
      <c r="A129" s="298" t="s">
        <v>123</v>
      </c>
      <c r="B129" s="299"/>
      <c r="C129" s="300"/>
      <c r="D129" s="121">
        <f>SUM(D127+D128)</f>
        <v>13851.958274553923</v>
      </c>
    </row>
    <row r="130" spans="1:4" x14ac:dyDescent="0.2">
      <c r="A130" s="148"/>
      <c r="B130" s="148"/>
      <c r="C130" s="148"/>
      <c r="D130" s="149"/>
    </row>
    <row r="131" spans="1:4" x14ac:dyDescent="0.2">
      <c r="A131" s="148"/>
      <c r="B131" s="148"/>
      <c r="C131" s="122" t="s">
        <v>129</v>
      </c>
      <c r="D131" s="122">
        <v>1</v>
      </c>
    </row>
    <row r="132" spans="1:4" x14ac:dyDescent="0.2">
      <c r="A132" s="62"/>
      <c r="B132" s="62"/>
      <c r="C132" s="111" t="s">
        <v>124</v>
      </c>
      <c r="D132" s="164">
        <f>D131*D129</f>
        <v>13851.958274553923</v>
      </c>
    </row>
    <row r="133" spans="1:4" x14ac:dyDescent="0.2">
      <c r="A133" s="62"/>
      <c r="B133" s="62"/>
      <c r="C133" s="122" t="s">
        <v>128</v>
      </c>
      <c r="D133" s="165">
        <v>12</v>
      </c>
    </row>
    <row r="134" spans="1:4" x14ac:dyDescent="0.2">
      <c r="A134" s="62"/>
      <c r="B134" s="62"/>
      <c r="C134" s="111" t="s">
        <v>125</v>
      </c>
      <c r="D134" s="166">
        <f>D133*D132</f>
        <v>166223.49929464707</v>
      </c>
    </row>
  </sheetData>
  <mergeCells count="60">
    <mergeCell ref="A49:D49"/>
    <mergeCell ref="B50:C50"/>
    <mergeCell ref="B128:C128"/>
    <mergeCell ref="A73:D73"/>
    <mergeCell ref="A79:C79"/>
    <mergeCell ref="A81:D81"/>
    <mergeCell ref="A82:D82"/>
    <mergeCell ref="A92:D92"/>
    <mergeCell ref="A97:D97"/>
    <mergeCell ref="A108:D108"/>
    <mergeCell ref="A119:D119"/>
    <mergeCell ref="B122:C122"/>
    <mergeCell ref="B123:C123"/>
    <mergeCell ref="B124:C124"/>
    <mergeCell ref="B125:C125"/>
    <mergeCell ref="A103:D103"/>
    <mergeCell ref="A34:B34"/>
    <mergeCell ref="A35:C35"/>
    <mergeCell ref="A36:D36"/>
    <mergeCell ref="A37:D37"/>
    <mergeCell ref="A48:D48"/>
    <mergeCell ref="A15:D15"/>
    <mergeCell ref="A16:D16"/>
    <mergeCell ref="B17:C17"/>
    <mergeCell ref="B30:C30"/>
    <mergeCell ref="A33:B33"/>
    <mergeCell ref="B19:C19"/>
    <mergeCell ref="B18:C18"/>
    <mergeCell ref="A21:D21"/>
    <mergeCell ref="B22:C22"/>
    <mergeCell ref="A26:C26"/>
    <mergeCell ref="A28:D28"/>
    <mergeCell ref="A29:D29"/>
    <mergeCell ref="A1:D1"/>
    <mergeCell ref="A2:D2"/>
    <mergeCell ref="A3:D3"/>
    <mergeCell ref="A4:C4"/>
    <mergeCell ref="A6:D6"/>
    <mergeCell ref="B7:C7"/>
    <mergeCell ref="A11:D11"/>
    <mergeCell ref="A12:D12"/>
    <mergeCell ref="A13:C13"/>
    <mergeCell ref="A14:C14"/>
    <mergeCell ref="B8:C8"/>
    <mergeCell ref="B9:C9"/>
    <mergeCell ref="B10:C10"/>
    <mergeCell ref="A54:C54"/>
    <mergeCell ref="A55:D55"/>
    <mergeCell ref="A56:D56"/>
    <mergeCell ref="B57:C57"/>
    <mergeCell ref="B58:C58"/>
    <mergeCell ref="B126:C126"/>
    <mergeCell ref="A127:C127"/>
    <mergeCell ref="A129:C129"/>
    <mergeCell ref="B59:C59"/>
    <mergeCell ref="B60:C60"/>
    <mergeCell ref="A61:C61"/>
    <mergeCell ref="A63:D63"/>
    <mergeCell ref="A71:C71"/>
    <mergeCell ref="A109:D109"/>
  </mergeCells>
  <pageMargins left="0.25" right="0.25" top="0.75" bottom="0.75" header="0.3" footer="0.3"/>
  <pageSetup paperSize="9" scale="95"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9276-7A2C-4CF6-A813-BB8716CAE10B}">
  <sheetPr>
    <pageSetUpPr fitToPage="1"/>
  </sheetPr>
  <dimension ref="A1:D133"/>
  <sheetViews>
    <sheetView workbookViewId="0">
      <selection activeCell="D5" sqref="D5"/>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41" t="s">
        <v>31</v>
      </c>
      <c r="B4" s="342"/>
      <c r="C4" s="342"/>
      <c r="D4" s="105"/>
    </row>
    <row r="5" spans="1:4" x14ac:dyDescent="0.2">
      <c r="A5" s="106"/>
      <c r="B5" s="107"/>
      <c r="C5" s="107"/>
      <c r="D5" s="107"/>
    </row>
    <row r="6" spans="1:4" ht="13.5" thickBot="1" x14ac:dyDescent="0.25">
      <c r="A6" s="320" t="s">
        <v>32</v>
      </c>
      <c r="B6" s="320"/>
      <c r="C6" s="320"/>
      <c r="D6" s="320"/>
    </row>
    <row r="7" spans="1:4" x14ac:dyDescent="0.2">
      <c r="A7" s="108" t="s">
        <v>33</v>
      </c>
      <c r="B7" s="340" t="s">
        <v>34</v>
      </c>
      <c r="C7" s="340"/>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180</v>
      </c>
    </row>
    <row r="14" spans="1:4" x14ac:dyDescent="0.2">
      <c r="A14" s="277" t="s">
        <v>150</v>
      </c>
      <c r="B14" s="277"/>
      <c r="C14" s="277"/>
      <c r="D14" s="111" t="s">
        <v>217</v>
      </c>
    </row>
    <row r="15" spans="1:4" x14ac:dyDescent="0.2">
      <c r="A15" s="274"/>
      <c r="B15" s="274"/>
      <c r="C15" s="274"/>
      <c r="D15" s="275"/>
    </row>
    <row r="16" spans="1:4" ht="13.5" thickBot="1" x14ac:dyDescent="0.25">
      <c r="A16" s="276" t="s">
        <v>49</v>
      </c>
      <c r="B16" s="276"/>
      <c r="C16" s="276"/>
      <c r="D16" s="276"/>
    </row>
    <row r="17" spans="1:4" x14ac:dyDescent="0.2">
      <c r="A17" s="110">
        <v>3</v>
      </c>
      <c r="B17" s="278" t="s">
        <v>194</v>
      </c>
      <c r="C17" s="279"/>
      <c r="D17" s="113">
        <v>4750</v>
      </c>
    </row>
    <row r="18" spans="1:4" x14ac:dyDescent="0.2">
      <c r="A18" s="112">
        <v>4</v>
      </c>
      <c r="B18" s="277" t="s">
        <v>51</v>
      </c>
      <c r="C18" s="277"/>
      <c r="D18" s="112" t="s">
        <v>181</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218</v>
      </c>
      <c r="C23" s="115"/>
      <c r="D23" s="116">
        <f>D17</f>
        <v>4750</v>
      </c>
    </row>
    <row r="24" spans="1:4" x14ac:dyDescent="0.2">
      <c r="A24" s="110" t="s">
        <v>35</v>
      </c>
      <c r="B24" s="110" t="s">
        <v>182</v>
      </c>
      <c r="C24" s="110"/>
      <c r="D24" s="116">
        <f>D19*0.2</f>
        <v>303.60000000000002</v>
      </c>
    </row>
    <row r="25" spans="1:4" x14ac:dyDescent="0.2">
      <c r="A25" s="284" t="s">
        <v>58</v>
      </c>
      <c r="B25" s="284"/>
      <c r="C25" s="284"/>
      <c r="D25" s="117">
        <f>SUM(D23:D24)</f>
        <v>5053.6000000000004</v>
      </c>
    </row>
    <row r="26" spans="1:4" ht="13.5" thickBot="1" x14ac:dyDescent="0.25">
      <c r="A26" s="62" t="s">
        <v>54</v>
      </c>
      <c r="B26" s="62"/>
      <c r="C26" s="62"/>
      <c r="D26" s="62"/>
    </row>
    <row r="27" spans="1:4" ht="13.5" thickBot="1" x14ac:dyDescent="0.25">
      <c r="A27" s="280" t="s">
        <v>59</v>
      </c>
      <c r="B27" s="280"/>
      <c r="C27" s="280"/>
      <c r="D27" s="280"/>
    </row>
    <row r="28" spans="1:4" x14ac:dyDescent="0.2">
      <c r="A28" s="312" t="s">
        <v>60</v>
      </c>
      <c r="B28" s="312"/>
      <c r="C28" s="312"/>
      <c r="D28" s="312"/>
    </row>
    <row r="29" spans="1:4" x14ac:dyDescent="0.2">
      <c r="A29" s="114" t="s">
        <v>61</v>
      </c>
      <c r="B29" s="284" t="s">
        <v>62</v>
      </c>
      <c r="C29" s="284"/>
      <c r="D29" s="114" t="s">
        <v>56</v>
      </c>
    </row>
    <row r="30" spans="1:4" x14ac:dyDescent="0.2">
      <c r="A30" s="111" t="s">
        <v>33</v>
      </c>
      <c r="B30" s="111" t="s">
        <v>63</v>
      </c>
      <c r="C30" s="118">
        <v>8.3299999999999999E-2</v>
      </c>
      <c r="D30" s="119">
        <f>C30*D25</f>
        <v>420.96488000000005</v>
      </c>
    </row>
    <row r="31" spans="1:4" x14ac:dyDescent="0.2">
      <c r="A31" s="111" t="s">
        <v>35</v>
      </c>
      <c r="B31" s="111" t="s">
        <v>64</v>
      </c>
      <c r="C31" s="118">
        <v>2.7799999999999998E-2</v>
      </c>
      <c r="D31" s="119">
        <f>SUM(D25*C31)</f>
        <v>140.49008000000001</v>
      </c>
    </row>
    <row r="32" spans="1:4" x14ac:dyDescent="0.2">
      <c r="A32" s="305" t="s">
        <v>131</v>
      </c>
      <c r="B32" s="306"/>
      <c r="C32" s="120">
        <f>SUM(C30+C31)</f>
        <v>0.1111</v>
      </c>
      <c r="D32" s="121">
        <f>SUM(D30:D31)</f>
        <v>561.45496000000003</v>
      </c>
    </row>
    <row r="33" spans="1:4" x14ac:dyDescent="0.2">
      <c r="A33" s="313" t="s">
        <v>130</v>
      </c>
      <c r="B33" s="293"/>
      <c r="C33" s="123">
        <f>SUM(C38:C45)</f>
        <v>0.36800000000000005</v>
      </c>
      <c r="D33" s="119">
        <f>SUM(D32*C33)</f>
        <v>206.61542528000004</v>
      </c>
    </row>
    <row r="34" spans="1:4" x14ac:dyDescent="0.2">
      <c r="A34" s="307" t="s">
        <v>58</v>
      </c>
      <c r="B34" s="308"/>
      <c r="C34" s="309"/>
      <c r="D34" s="124">
        <f>SUM(D32+D33)</f>
        <v>768.0703852800001</v>
      </c>
    </row>
    <row r="35" spans="1:4" x14ac:dyDescent="0.2">
      <c r="A35" s="304"/>
      <c r="B35" s="304"/>
      <c r="C35" s="304"/>
      <c r="D35" s="304"/>
    </row>
    <row r="36" spans="1:4" x14ac:dyDescent="0.2">
      <c r="A36" s="296" t="s">
        <v>65</v>
      </c>
      <c r="B36" s="296"/>
      <c r="C36" s="296"/>
      <c r="D36" s="296"/>
    </row>
    <row r="37" spans="1:4" x14ac:dyDescent="0.2">
      <c r="A37" s="126" t="s">
        <v>66</v>
      </c>
      <c r="B37" s="126" t="s">
        <v>67</v>
      </c>
      <c r="C37" s="126" t="s">
        <v>68</v>
      </c>
      <c r="D37" s="126" t="s">
        <v>56</v>
      </c>
    </row>
    <row r="38" spans="1:4" x14ac:dyDescent="0.2">
      <c r="A38" s="127" t="s">
        <v>33</v>
      </c>
      <c r="B38" s="127" t="s">
        <v>69</v>
      </c>
      <c r="C38" s="123">
        <v>0.2</v>
      </c>
      <c r="D38" s="116">
        <f>D25*C38</f>
        <v>1010.7200000000001</v>
      </c>
    </row>
    <row r="39" spans="1:4" x14ac:dyDescent="0.2">
      <c r="A39" s="127" t="s">
        <v>35</v>
      </c>
      <c r="B39" s="127" t="s">
        <v>70</v>
      </c>
      <c r="C39" s="123">
        <v>2.5000000000000001E-2</v>
      </c>
      <c r="D39" s="116">
        <f>D25*C39</f>
        <v>126.34000000000002</v>
      </c>
    </row>
    <row r="40" spans="1:4" x14ac:dyDescent="0.2">
      <c r="A40" s="127" t="s">
        <v>38</v>
      </c>
      <c r="B40" s="128" t="s">
        <v>71</v>
      </c>
      <c r="C40" s="129">
        <v>0.03</v>
      </c>
      <c r="D40" s="116">
        <f>D25*C40</f>
        <v>151.608</v>
      </c>
    </row>
    <row r="41" spans="1:4" x14ac:dyDescent="0.2">
      <c r="A41" s="127" t="s">
        <v>57</v>
      </c>
      <c r="B41" s="127" t="s">
        <v>72</v>
      </c>
      <c r="C41" s="123">
        <v>1.4999999999999999E-2</v>
      </c>
      <c r="D41" s="116">
        <f>D25*C41</f>
        <v>75.804000000000002</v>
      </c>
    </row>
    <row r="42" spans="1:4" x14ac:dyDescent="0.2">
      <c r="A42" s="127" t="s">
        <v>41</v>
      </c>
      <c r="B42" s="127" t="s">
        <v>73</v>
      </c>
      <c r="C42" s="123">
        <v>0.01</v>
      </c>
      <c r="D42" s="116">
        <f>D25*C42</f>
        <v>50.536000000000001</v>
      </c>
    </row>
    <row r="43" spans="1:4" x14ac:dyDescent="0.2">
      <c r="A43" s="127" t="s">
        <v>42</v>
      </c>
      <c r="B43" s="127" t="s">
        <v>74</v>
      </c>
      <c r="C43" s="123">
        <v>6.0000000000000001E-3</v>
      </c>
      <c r="D43" s="116">
        <f>D25*C43</f>
        <v>30.321600000000004</v>
      </c>
    </row>
    <row r="44" spans="1:4" x14ac:dyDescent="0.2">
      <c r="A44" s="127" t="s">
        <v>43</v>
      </c>
      <c r="B44" s="127" t="s">
        <v>75</v>
      </c>
      <c r="C44" s="123">
        <v>2E-3</v>
      </c>
      <c r="D44" s="116">
        <f>D25*C44</f>
        <v>10.107200000000001</v>
      </c>
    </row>
    <row r="45" spans="1:4" x14ac:dyDescent="0.2">
      <c r="A45" s="127" t="s">
        <v>44</v>
      </c>
      <c r="B45" s="127" t="s">
        <v>76</v>
      </c>
      <c r="C45" s="123">
        <v>0.08</v>
      </c>
      <c r="D45" s="116">
        <f>D25*C45</f>
        <v>404.28800000000001</v>
      </c>
    </row>
    <row r="46" spans="1:4" x14ac:dyDescent="0.2">
      <c r="A46" s="127"/>
      <c r="B46" s="126" t="s">
        <v>58</v>
      </c>
      <c r="C46" s="123">
        <f>SUM(C38:C45)</f>
        <v>0.36800000000000005</v>
      </c>
      <c r="D46" s="117">
        <f>SUM(D38:D45)</f>
        <v>1859.7248000000002</v>
      </c>
    </row>
    <row r="47" spans="1:4" x14ac:dyDescent="0.2">
      <c r="A47" s="304"/>
      <c r="B47" s="304"/>
      <c r="C47" s="304"/>
      <c r="D47" s="304"/>
    </row>
    <row r="48" spans="1:4" x14ac:dyDescent="0.2">
      <c r="A48" s="296" t="s">
        <v>77</v>
      </c>
      <c r="B48" s="296"/>
      <c r="C48" s="296"/>
      <c r="D48" s="296"/>
    </row>
    <row r="49" spans="1:4" x14ac:dyDescent="0.2">
      <c r="A49" s="114" t="s">
        <v>78</v>
      </c>
      <c r="B49" s="284" t="s">
        <v>79</v>
      </c>
      <c r="C49" s="284"/>
      <c r="D49" s="114" t="s">
        <v>56</v>
      </c>
    </row>
    <row r="50" spans="1:4" s="131" customFormat="1" ht="23.25" customHeight="1" x14ac:dyDescent="0.25">
      <c r="A50" s="110" t="s">
        <v>33</v>
      </c>
      <c r="B50" s="110" t="s">
        <v>214</v>
      </c>
      <c r="C50" s="130">
        <v>5.15</v>
      </c>
      <c r="D50" s="119">
        <f>(2*5.15*15.2) - (D20*6%)</f>
        <v>156.56</v>
      </c>
    </row>
    <row r="51" spans="1:4" x14ac:dyDescent="0.2">
      <c r="A51" s="110" t="s">
        <v>35</v>
      </c>
      <c r="B51" s="132" t="s">
        <v>215</v>
      </c>
      <c r="C51" s="133">
        <v>27.29</v>
      </c>
      <c r="D51" s="134">
        <f>(C51*15.2)-142.69</f>
        <v>272.11799999999999</v>
      </c>
    </row>
    <row r="52" spans="1:4" x14ac:dyDescent="0.2">
      <c r="A52" s="110" t="s">
        <v>38</v>
      </c>
      <c r="B52" s="110" t="s">
        <v>192</v>
      </c>
      <c r="C52" s="167">
        <v>0</v>
      </c>
      <c r="D52" s="136">
        <v>49.23</v>
      </c>
    </row>
    <row r="53" spans="1:4" x14ac:dyDescent="0.2">
      <c r="A53" s="284" t="s">
        <v>58</v>
      </c>
      <c r="B53" s="284"/>
      <c r="C53" s="284"/>
      <c r="D53" s="121">
        <f>SUM(D50:D52)</f>
        <v>477.90800000000002</v>
      </c>
    </row>
    <row r="54" spans="1:4" x14ac:dyDescent="0.2">
      <c r="A54" s="327"/>
      <c r="B54" s="327"/>
      <c r="C54" s="327"/>
      <c r="D54" s="327"/>
    </row>
    <row r="55" spans="1:4" x14ac:dyDescent="0.2">
      <c r="A55" s="287" t="s">
        <v>80</v>
      </c>
      <c r="B55" s="288"/>
      <c r="C55" s="288"/>
      <c r="D55" s="289"/>
    </row>
    <row r="56" spans="1:4" x14ac:dyDescent="0.2">
      <c r="A56" s="114">
        <v>2</v>
      </c>
      <c r="B56" s="284" t="s">
        <v>81</v>
      </c>
      <c r="C56" s="284"/>
      <c r="D56" s="114" t="s">
        <v>56</v>
      </c>
    </row>
    <row r="57" spans="1:4" x14ac:dyDescent="0.2">
      <c r="A57" s="110" t="s">
        <v>61</v>
      </c>
      <c r="B57" s="297" t="s">
        <v>82</v>
      </c>
      <c r="C57" s="297"/>
      <c r="D57" s="116">
        <f>D34</f>
        <v>768.0703852800001</v>
      </c>
    </row>
    <row r="58" spans="1:4" x14ac:dyDescent="0.2">
      <c r="A58" s="110" t="s">
        <v>66</v>
      </c>
      <c r="B58" s="297" t="s">
        <v>67</v>
      </c>
      <c r="C58" s="297"/>
      <c r="D58" s="116">
        <f>D46</f>
        <v>1859.7248000000002</v>
      </c>
    </row>
    <row r="59" spans="1:4" x14ac:dyDescent="0.2">
      <c r="A59" s="110" t="s">
        <v>78</v>
      </c>
      <c r="B59" s="297" t="s">
        <v>79</v>
      </c>
      <c r="C59" s="297"/>
      <c r="D59" s="116">
        <f>D53</f>
        <v>477.90800000000002</v>
      </c>
    </row>
    <row r="60" spans="1:4" x14ac:dyDescent="0.2">
      <c r="A60" s="284" t="s">
        <v>58</v>
      </c>
      <c r="B60" s="284"/>
      <c r="C60" s="284"/>
      <c r="D60" s="117">
        <f>SUM(D57:D59)</f>
        <v>3105.7031852800001</v>
      </c>
    </row>
    <row r="61" spans="1:4" x14ac:dyDescent="0.2">
      <c r="A61" s="137"/>
      <c r="B61" s="137"/>
      <c r="C61" s="137"/>
      <c r="D61" s="138"/>
    </row>
    <row r="62" spans="1:4" x14ac:dyDescent="0.2">
      <c r="A62" s="324" t="s">
        <v>137</v>
      </c>
      <c r="B62" s="325"/>
      <c r="C62" s="325"/>
      <c r="D62" s="326"/>
    </row>
    <row r="63" spans="1:4" x14ac:dyDescent="0.2">
      <c r="A63" s="122">
        <v>3</v>
      </c>
      <c r="B63" s="114" t="s">
        <v>83</v>
      </c>
      <c r="C63" s="114" t="s">
        <v>84</v>
      </c>
      <c r="D63" s="114" t="s">
        <v>56</v>
      </c>
    </row>
    <row r="64" spans="1:4" x14ac:dyDescent="0.2">
      <c r="A64" s="111" t="s">
        <v>33</v>
      </c>
      <c r="B64" s="111" t="s">
        <v>85</v>
      </c>
      <c r="C64" s="139">
        <v>4.1700000000000001E-3</v>
      </c>
      <c r="D64" s="140">
        <f>D25*C64</f>
        <v>21.073512000000001</v>
      </c>
    </row>
    <row r="65" spans="1:4" x14ac:dyDescent="0.2">
      <c r="A65" s="111" t="s">
        <v>35</v>
      </c>
      <c r="B65" s="111" t="s">
        <v>86</v>
      </c>
      <c r="C65" s="141">
        <v>3.3399999999999999E-4</v>
      </c>
      <c r="D65" s="142">
        <f>D25*C65</f>
        <v>1.6879024</v>
      </c>
    </row>
    <row r="66" spans="1:4" x14ac:dyDescent="0.2">
      <c r="A66" s="63" t="s">
        <v>38</v>
      </c>
      <c r="B66" s="63" t="s">
        <v>87</v>
      </c>
      <c r="C66" s="143">
        <v>1.6000000000000001E-3</v>
      </c>
      <c r="D66" s="144">
        <f>SUM(D25+D32)*C66</f>
        <v>8.9840879360000017</v>
      </c>
    </row>
    <row r="67" spans="1:4" x14ac:dyDescent="0.2">
      <c r="A67" s="111" t="s">
        <v>57</v>
      </c>
      <c r="B67" s="111" t="s">
        <v>88</v>
      </c>
      <c r="C67" s="145">
        <v>1.84E-2</v>
      </c>
      <c r="D67" s="140">
        <f>D25*C67</f>
        <v>92.986240000000009</v>
      </c>
    </row>
    <row r="68" spans="1:4" x14ac:dyDescent="0.2">
      <c r="A68" s="110" t="s">
        <v>41</v>
      </c>
      <c r="B68" s="110" t="s">
        <v>89</v>
      </c>
      <c r="C68" s="146">
        <v>5.4000000000000003E-3</v>
      </c>
      <c r="D68" s="147">
        <f>D25*C68</f>
        <v>27.289440000000003</v>
      </c>
    </row>
    <row r="69" spans="1:4" x14ac:dyDescent="0.2">
      <c r="A69" s="63" t="s">
        <v>42</v>
      </c>
      <c r="B69" s="63" t="s">
        <v>90</v>
      </c>
      <c r="C69" s="143">
        <v>3.04E-2</v>
      </c>
      <c r="D69" s="144">
        <f>(D25+D32)*C69</f>
        <v>170.69767078400002</v>
      </c>
    </row>
    <row r="70" spans="1:4" x14ac:dyDescent="0.2">
      <c r="A70" s="293" t="s">
        <v>58</v>
      </c>
      <c r="B70" s="293"/>
      <c r="C70" s="293"/>
      <c r="D70" s="121">
        <f>SUM(D64:D69)</f>
        <v>322.71885312000006</v>
      </c>
    </row>
    <row r="71" spans="1:4" x14ac:dyDescent="0.2">
      <c r="A71" s="148"/>
      <c r="B71" s="148"/>
      <c r="C71" s="148"/>
      <c r="D71" s="149"/>
    </row>
    <row r="72" spans="1:4" x14ac:dyDescent="0.2">
      <c r="A72" s="330" t="s">
        <v>132</v>
      </c>
      <c r="B72" s="331"/>
      <c r="C72" s="331"/>
      <c r="D72" s="332"/>
    </row>
    <row r="73" spans="1:4" x14ac:dyDescent="0.2">
      <c r="A73" s="111" t="s">
        <v>33</v>
      </c>
      <c r="B73" s="111" t="s">
        <v>133</v>
      </c>
      <c r="C73" s="122"/>
      <c r="D73" s="121">
        <f>D25</f>
        <v>5053.6000000000004</v>
      </c>
    </row>
    <row r="74" spans="1:4" x14ac:dyDescent="0.2">
      <c r="A74" s="111" t="s">
        <v>35</v>
      </c>
      <c r="B74" s="111" t="s">
        <v>117</v>
      </c>
      <c r="C74" s="122"/>
      <c r="D74" s="121">
        <f>D60</f>
        <v>3105.7031852800001</v>
      </c>
    </row>
    <row r="75" spans="1:4" x14ac:dyDescent="0.2">
      <c r="A75" s="63" t="s">
        <v>38</v>
      </c>
      <c r="B75" s="63" t="s">
        <v>134</v>
      </c>
      <c r="C75" s="150">
        <f>D73/12</f>
        <v>421.13333333333338</v>
      </c>
      <c r="D75" s="150">
        <f>C75*C46+C75</f>
        <v>576.11040000000003</v>
      </c>
    </row>
    <row r="76" spans="1:4" x14ac:dyDescent="0.2">
      <c r="A76" s="111" t="s">
        <v>57</v>
      </c>
      <c r="B76" s="111" t="s">
        <v>118</v>
      </c>
      <c r="C76" s="122"/>
      <c r="D76" s="121">
        <f>D70</f>
        <v>322.71885312000006</v>
      </c>
    </row>
    <row r="77" spans="1:4" x14ac:dyDescent="0.2">
      <c r="A77" s="111" t="s">
        <v>41</v>
      </c>
      <c r="B77" s="111" t="s">
        <v>135</v>
      </c>
      <c r="C77" s="122"/>
      <c r="D77" s="168">
        <f>-(D50+D51)</f>
        <v>-428.678</v>
      </c>
    </row>
    <row r="78" spans="1:4" x14ac:dyDescent="0.2">
      <c r="A78" s="293" t="s">
        <v>136</v>
      </c>
      <c r="B78" s="293"/>
      <c r="C78" s="293"/>
      <c r="D78" s="121">
        <f>SUM(D73:D77)</f>
        <v>8629.4544384000019</v>
      </c>
    </row>
    <row r="79" spans="1:4" ht="13.5" thickBot="1" x14ac:dyDescent="0.25">
      <c r="A79" s="148"/>
      <c r="B79" s="148"/>
      <c r="C79" s="148"/>
      <c r="D79" s="148"/>
    </row>
    <row r="80" spans="1:4" ht="13.5" thickBot="1" x14ac:dyDescent="0.25">
      <c r="A80" s="333" t="s">
        <v>91</v>
      </c>
      <c r="B80" s="334"/>
      <c r="C80" s="334"/>
      <c r="D80" s="335"/>
    </row>
    <row r="81" spans="1:4" x14ac:dyDescent="0.2">
      <c r="A81" s="336" t="s">
        <v>92</v>
      </c>
      <c r="B81" s="337"/>
      <c r="C81" s="337"/>
      <c r="D81" s="338"/>
    </row>
    <row r="82" spans="1:4" x14ac:dyDescent="0.2">
      <c r="A82" s="114" t="s">
        <v>93</v>
      </c>
      <c r="B82" s="114" t="s">
        <v>94</v>
      </c>
      <c r="C82" s="114" t="s">
        <v>84</v>
      </c>
      <c r="D82" s="114" t="s">
        <v>56</v>
      </c>
    </row>
    <row r="83" spans="1:4" x14ac:dyDescent="0.2">
      <c r="A83" s="111" t="s">
        <v>33</v>
      </c>
      <c r="B83" s="110" t="s">
        <v>95</v>
      </c>
      <c r="C83" s="123">
        <v>8.3299999999999999E-2</v>
      </c>
      <c r="D83" s="119">
        <f>D78*C83</f>
        <v>718.83355471872017</v>
      </c>
    </row>
    <row r="84" spans="1:4" x14ac:dyDescent="0.2">
      <c r="A84" s="111" t="s">
        <v>35</v>
      </c>
      <c r="B84" s="110" t="s">
        <v>138</v>
      </c>
      <c r="C84" s="151">
        <v>2.2200000000000002E-3</v>
      </c>
      <c r="D84" s="119">
        <f>D78*C84</f>
        <v>19.157388853248005</v>
      </c>
    </row>
    <row r="85" spans="1:4" x14ac:dyDescent="0.2">
      <c r="A85" s="111" t="s">
        <v>38</v>
      </c>
      <c r="B85" s="110" t="s">
        <v>96</v>
      </c>
      <c r="C85" s="151">
        <v>2.0000000000000001E-4</v>
      </c>
      <c r="D85" s="119">
        <f>D78*C85</f>
        <v>1.7258908876800005</v>
      </c>
    </row>
    <row r="86" spans="1:4" x14ac:dyDescent="0.2">
      <c r="A86" s="111" t="s">
        <v>57</v>
      </c>
      <c r="B86" s="110" t="s">
        <v>97</v>
      </c>
      <c r="C86" s="151">
        <v>2.7999999999999998E-4</v>
      </c>
      <c r="D86" s="119">
        <f>D78*C86</f>
        <v>2.4162472427520005</v>
      </c>
    </row>
    <row r="87" spans="1:4" x14ac:dyDescent="0.2">
      <c r="A87" s="111"/>
      <c r="B87" s="110" t="s">
        <v>139</v>
      </c>
      <c r="C87" s="151">
        <v>3.5999999999999999E-3</v>
      </c>
      <c r="D87" s="119">
        <f>D78*C87</f>
        <v>31.066035978240006</v>
      </c>
    </row>
    <row r="88" spans="1:4" x14ac:dyDescent="0.2">
      <c r="A88" s="111" t="s">
        <v>41</v>
      </c>
      <c r="B88" s="110" t="s">
        <v>98</v>
      </c>
      <c r="C88" s="151">
        <v>3.8999999999999999E-4</v>
      </c>
      <c r="D88" s="119">
        <f>D78*C88</f>
        <v>3.3654872309760009</v>
      </c>
    </row>
    <row r="89" spans="1:4" x14ac:dyDescent="0.2">
      <c r="A89" s="111" t="s">
        <v>42</v>
      </c>
      <c r="B89" s="110" t="s">
        <v>126</v>
      </c>
      <c r="C89" s="146"/>
      <c r="D89" s="119">
        <f>(($D$25+$D$60+$D$70)-$D$50)*C89</f>
        <v>0</v>
      </c>
    </row>
    <row r="90" spans="1:4" x14ac:dyDescent="0.2">
      <c r="A90" s="122" t="s">
        <v>58</v>
      </c>
      <c r="B90" s="122"/>
      <c r="C90" s="122"/>
      <c r="D90" s="121">
        <f>SUM(D83:D89)</f>
        <v>776.56460491161613</v>
      </c>
    </row>
    <row r="91" spans="1:4" x14ac:dyDescent="0.2">
      <c r="A91" s="290" t="s">
        <v>99</v>
      </c>
      <c r="B91" s="291"/>
      <c r="C91" s="291"/>
      <c r="D91" s="292"/>
    </row>
    <row r="92" spans="1:4" x14ac:dyDescent="0.2">
      <c r="A92" s="122" t="s">
        <v>100</v>
      </c>
      <c r="B92" s="111" t="s">
        <v>101</v>
      </c>
      <c r="C92" s="111"/>
      <c r="D92" s="114" t="s">
        <v>56</v>
      </c>
    </row>
    <row r="93" spans="1:4" x14ac:dyDescent="0.2">
      <c r="A93" s="111" t="s">
        <v>33</v>
      </c>
      <c r="B93" s="111" t="s">
        <v>102</v>
      </c>
      <c r="C93" s="111"/>
      <c r="D93" s="119">
        <v>0</v>
      </c>
    </row>
    <row r="94" spans="1:4" x14ac:dyDescent="0.2">
      <c r="A94" s="122" t="s">
        <v>58</v>
      </c>
      <c r="B94" s="122"/>
      <c r="C94" s="122"/>
      <c r="D94" s="121"/>
    </row>
    <row r="95" spans="1:4" x14ac:dyDescent="0.2">
      <c r="A95" s="125"/>
      <c r="B95" s="125"/>
      <c r="C95" s="125"/>
      <c r="D95" s="125"/>
    </row>
    <row r="96" spans="1:4" x14ac:dyDescent="0.2">
      <c r="A96" s="287" t="s">
        <v>103</v>
      </c>
      <c r="B96" s="288"/>
      <c r="C96" s="288"/>
      <c r="D96" s="289"/>
    </row>
    <row r="97" spans="1:4" x14ac:dyDescent="0.2">
      <c r="A97" s="114">
        <v>4</v>
      </c>
      <c r="B97" s="152" t="s">
        <v>104</v>
      </c>
      <c r="C97" s="153"/>
      <c r="D97" s="114" t="s">
        <v>56</v>
      </c>
    </row>
    <row r="98" spans="1:4" x14ac:dyDescent="0.2">
      <c r="A98" s="110" t="s">
        <v>93</v>
      </c>
      <c r="B98" s="154" t="s">
        <v>94</v>
      </c>
      <c r="C98" s="155"/>
      <c r="D98" s="156">
        <f>D90</f>
        <v>776.56460491161613</v>
      </c>
    </row>
    <row r="99" spans="1:4" x14ac:dyDescent="0.2">
      <c r="A99" s="110" t="s">
        <v>100</v>
      </c>
      <c r="B99" s="154" t="s">
        <v>101</v>
      </c>
      <c r="C99" s="155"/>
      <c r="D99" s="119">
        <f>D94</f>
        <v>0</v>
      </c>
    </row>
    <row r="100" spans="1:4" x14ac:dyDescent="0.2">
      <c r="A100" s="157" t="s">
        <v>58</v>
      </c>
      <c r="B100" s="158"/>
      <c r="C100" s="159"/>
      <c r="D100" s="121">
        <f>SUM(D98:D99)</f>
        <v>776.56460491161613</v>
      </c>
    </row>
    <row r="101" spans="1:4" x14ac:dyDescent="0.2">
      <c r="A101" s="62" t="s">
        <v>54</v>
      </c>
      <c r="B101" s="62"/>
      <c r="C101" s="62"/>
      <c r="D101" s="62"/>
    </row>
    <row r="102" spans="1:4" x14ac:dyDescent="0.2">
      <c r="A102" s="287" t="s">
        <v>105</v>
      </c>
      <c r="B102" s="288"/>
      <c r="C102" s="288"/>
      <c r="D102" s="289"/>
    </row>
    <row r="103" spans="1:4" x14ac:dyDescent="0.2">
      <c r="A103" s="114">
        <v>5</v>
      </c>
      <c r="B103" s="114" t="s">
        <v>106</v>
      </c>
      <c r="C103" s="114"/>
      <c r="D103" s="114" t="s">
        <v>56</v>
      </c>
    </row>
    <row r="104" spans="1:4" x14ac:dyDescent="0.2">
      <c r="A104" s="132" t="s">
        <v>33</v>
      </c>
      <c r="B104" s="160" t="s">
        <v>141</v>
      </c>
      <c r="C104" s="160"/>
      <c r="D104" s="136">
        <v>137.56</v>
      </c>
    </row>
    <row r="105" spans="1:4" x14ac:dyDescent="0.2">
      <c r="A105" s="110" t="s">
        <v>35</v>
      </c>
      <c r="B105" s="110" t="s">
        <v>164</v>
      </c>
      <c r="C105" s="114"/>
      <c r="D105" s="116">
        <v>0</v>
      </c>
    </row>
    <row r="106" spans="1:4" x14ac:dyDescent="0.2">
      <c r="A106" s="114" t="s">
        <v>58</v>
      </c>
      <c r="B106" s="114"/>
      <c r="C106" s="114"/>
      <c r="D106" s="117">
        <f>D104+D105</f>
        <v>137.56</v>
      </c>
    </row>
    <row r="107" spans="1:4" x14ac:dyDescent="0.2">
      <c r="A107" s="339"/>
      <c r="B107" s="339"/>
      <c r="C107" s="339"/>
      <c r="D107" s="339"/>
    </row>
    <row r="108" spans="1:4" x14ac:dyDescent="0.2">
      <c r="A108" s="287" t="s">
        <v>107</v>
      </c>
      <c r="B108" s="288"/>
      <c r="C108" s="288"/>
      <c r="D108" s="289"/>
    </row>
    <row r="109" spans="1:4" x14ac:dyDescent="0.2">
      <c r="A109" s="114">
        <v>6</v>
      </c>
      <c r="B109" s="114" t="s">
        <v>108</v>
      </c>
      <c r="C109" s="114" t="s">
        <v>68</v>
      </c>
      <c r="D109" s="114" t="s">
        <v>56</v>
      </c>
    </row>
    <row r="110" spans="1:4" x14ac:dyDescent="0.2">
      <c r="A110" s="110" t="s">
        <v>33</v>
      </c>
      <c r="B110" s="160" t="s">
        <v>109</v>
      </c>
      <c r="C110" s="161">
        <v>0.05</v>
      </c>
      <c r="D110" s="116">
        <f>C110*D126</f>
        <v>469.80733216558087</v>
      </c>
    </row>
    <row r="111" spans="1:4" x14ac:dyDescent="0.2">
      <c r="A111" s="110" t="s">
        <v>35</v>
      </c>
      <c r="B111" s="160" t="s">
        <v>110</v>
      </c>
      <c r="C111" s="161">
        <v>0.1</v>
      </c>
      <c r="D111" s="116">
        <f>C111*(D110+D126)</f>
        <v>986.59539754771981</v>
      </c>
    </row>
    <row r="112" spans="1:4" x14ac:dyDescent="0.2">
      <c r="A112" s="110" t="s">
        <v>38</v>
      </c>
      <c r="B112" s="160" t="s">
        <v>111</v>
      </c>
      <c r="C112" s="162">
        <f>SUM(C113:C115)</f>
        <v>5.6499999999999995E-2</v>
      </c>
      <c r="D112" s="116">
        <f>(D25+D60+D70+D100+D105+D110+D111)*(C113+C114+C115)/(1-(C113+C114+C115))</f>
        <v>641.65013203593833</v>
      </c>
    </row>
    <row r="113" spans="1:4" x14ac:dyDescent="0.2">
      <c r="A113" s="110"/>
      <c r="B113" s="132" t="s">
        <v>112</v>
      </c>
      <c r="C113" s="162">
        <v>6.4999999999999997E-3</v>
      </c>
      <c r="D113" s="116">
        <f>C113*D128</f>
        <v>74.712296782895564</v>
      </c>
    </row>
    <row r="114" spans="1:4" x14ac:dyDescent="0.2">
      <c r="A114" s="110"/>
      <c r="B114" s="132" t="s">
        <v>113</v>
      </c>
      <c r="C114" s="162">
        <v>0.03</v>
      </c>
      <c r="D114" s="116">
        <f>C114*D128</f>
        <v>344.82598515182571</v>
      </c>
    </row>
    <row r="115" spans="1:4" x14ac:dyDescent="0.2">
      <c r="A115" s="110"/>
      <c r="B115" s="110" t="s">
        <v>114</v>
      </c>
      <c r="C115" s="163">
        <v>0.02</v>
      </c>
      <c r="D115" s="116">
        <f>C115*D128</f>
        <v>229.88399010121714</v>
      </c>
    </row>
    <row r="116" spans="1:4" x14ac:dyDescent="0.2">
      <c r="A116" s="114" t="s">
        <v>58</v>
      </c>
      <c r="B116" s="114"/>
      <c r="C116" s="114"/>
      <c r="D116" s="117">
        <f>SUM(D110:D112)</f>
        <v>2098.0528617492391</v>
      </c>
    </row>
    <row r="117" spans="1:4" x14ac:dyDescent="0.2">
      <c r="A117" s="62"/>
      <c r="B117" s="62"/>
      <c r="C117" s="62"/>
      <c r="D117" s="62"/>
    </row>
    <row r="118" spans="1:4" x14ac:dyDescent="0.2">
      <c r="A118" s="321" t="s">
        <v>115</v>
      </c>
      <c r="B118" s="322"/>
      <c r="C118" s="322"/>
      <c r="D118" s="323"/>
    </row>
    <row r="119" spans="1:4" x14ac:dyDescent="0.2">
      <c r="A119" s="62" t="s">
        <v>54</v>
      </c>
      <c r="B119" s="62"/>
      <c r="C119" s="62"/>
      <c r="D119" s="62"/>
    </row>
    <row r="120" spans="1:4" x14ac:dyDescent="0.2">
      <c r="A120" s="110"/>
      <c r="B120" s="114" t="s">
        <v>116</v>
      </c>
      <c r="C120" s="114"/>
      <c r="D120" s="114" t="s">
        <v>56</v>
      </c>
    </row>
    <row r="121" spans="1:4" x14ac:dyDescent="0.2">
      <c r="A121" s="110" t="s">
        <v>33</v>
      </c>
      <c r="B121" s="285" t="s">
        <v>53</v>
      </c>
      <c r="C121" s="286"/>
      <c r="D121" s="116">
        <f>D25</f>
        <v>5053.6000000000004</v>
      </c>
    </row>
    <row r="122" spans="1:4" x14ac:dyDescent="0.2">
      <c r="A122" s="110" t="s">
        <v>35</v>
      </c>
      <c r="B122" s="285" t="s">
        <v>117</v>
      </c>
      <c r="C122" s="286"/>
      <c r="D122" s="116">
        <f>D60</f>
        <v>3105.7031852800001</v>
      </c>
    </row>
    <row r="123" spans="1:4" x14ac:dyDescent="0.2">
      <c r="A123" s="110" t="s">
        <v>38</v>
      </c>
      <c r="B123" s="285" t="s">
        <v>118</v>
      </c>
      <c r="C123" s="286"/>
      <c r="D123" s="116">
        <f>D70</f>
        <v>322.71885312000006</v>
      </c>
    </row>
    <row r="124" spans="1:4" x14ac:dyDescent="0.2">
      <c r="A124" s="110" t="s">
        <v>57</v>
      </c>
      <c r="B124" s="285" t="s">
        <v>119</v>
      </c>
      <c r="C124" s="286"/>
      <c r="D124" s="116">
        <f>D100</f>
        <v>776.56460491161613</v>
      </c>
    </row>
    <row r="125" spans="1:4" x14ac:dyDescent="0.2">
      <c r="A125" s="110" t="s">
        <v>41</v>
      </c>
      <c r="B125" s="285" t="s">
        <v>120</v>
      </c>
      <c r="C125" s="286"/>
      <c r="D125" s="116">
        <f>D106</f>
        <v>137.56</v>
      </c>
    </row>
    <row r="126" spans="1:4" x14ac:dyDescent="0.2">
      <c r="A126" s="281" t="s">
        <v>121</v>
      </c>
      <c r="B126" s="282"/>
      <c r="C126" s="283"/>
      <c r="D126" s="117">
        <f>SUM(D121:D125)</f>
        <v>9396.1466433116166</v>
      </c>
    </row>
    <row r="127" spans="1:4" x14ac:dyDescent="0.2">
      <c r="A127" s="110" t="s">
        <v>42</v>
      </c>
      <c r="B127" s="285" t="s">
        <v>122</v>
      </c>
      <c r="C127" s="286"/>
      <c r="D127" s="116">
        <f>D116</f>
        <v>2098.0528617492391</v>
      </c>
    </row>
    <row r="128" spans="1:4" x14ac:dyDescent="0.2">
      <c r="A128" s="298" t="s">
        <v>123</v>
      </c>
      <c r="B128" s="299"/>
      <c r="C128" s="300"/>
      <c r="D128" s="121">
        <f>SUM(D126+D127)</f>
        <v>11494.199505060857</v>
      </c>
    </row>
    <row r="129" spans="1:4" x14ac:dyDescent="0.2">
      <c r="A129" s="148"/>
      <c r="B129" s="148"/>
      <c r="C129" s="148"/>
      <c r="D129" s="149"/>
    </row>
    <row r="130" spans="1:4" x14ac:dyDescent="0.2">
      <c r="A130" s="148"/>
      <c r="B130" s="148"/>
      <c r="C130" s="122" t="s">
        <v>129</v>
      </c>
      <c r="D130" s="122">
        <v>8</v>
      </c>
    </row>
    <row r="131" spans="1:4" x14ac:dyDescent="0.2">
      <c r="A131" s="62"/>
      <c r="B131" s="62"/>
      <c r="C131" s="111" t="s">
        <v>124</v>
      </c>
      <c r="D131" s="164">
        <f>D130*D128</f>
        <v>91953.596040486853</v>
      </c>
    </row>
    <row r="132" spans="1:4" x14ac:dyDescent="0.2">
      <c r="A132" s="62"/>
      <c r="B132" s="62"/>
      <c r="C132" s="122" t="s">
        <v>128</v>
      </c>
      <c r="D132" s="165">
        <v>12</v>
      </c>
    </row>
    <row r="133" spans="1:4" x14ac:dyDescent="0.2">
      <c r="A133" s="62"/>
      <c r="B133" s="62"/>
      <c r="C133" s="111" t="s">
        <v>125</v>
      </c>
      <c r="D133" s="166">
        <f>D132*D131</f>
        <v>1103443.1524858424</v>
      </c>
    </row>
  </sheetData>
  <mergeCells count="60">
    <mergeCell ref="A128:C128"/>
    <mergeCell ref="B122:C122"/>
    <mergeCell ref="B123:C123"/>
    <mergeCell ref="B124:C124"/>
    <mergeCell ref="B125:C125"/>
    <mergeCell ref="A126:C126"/>
    <mergeCell ref="B127:C127"/>
    <mergeCell ref="B121:C121"/>
    <mergeCell ref="A70:C70"/>
    <mergeCell ref="A72:D72"/>
    <mergeCell ref="A78:C78"/>
    <mergeCell ref="A80:D80"/>
    <mergeCell ref="A81:D81"/>
    <mergeCell ref="A91:D91"/>
    <mergeCell ref="A96:D96"/>
    <mergeCell ref="A102:D102"/>
    <mergeCell ref="A107:D107"/>
    <mergeCell ref="A108:D108"/>
    <mergeCell ref="A118:D118"/>
    <mergeCell ref="A62:D62"/>
    <mergeCell ref="A47:D47"/>
    <mergeCell ref="A48:D48"/>
    <mergeCell ref="B49:C49"/>
    <mergeCell ref="A53:C53"/>
    <mergeCell ref="A54:D54"/>
    <mergeCell ref="A55:D55"/>
    <mergeCell ref="B56:C56"/>
    <mergeCell ref="B57:C57"/>
    <mergeCell ref="B58:C58"/>
    <mergeCell ref="B59:C59"/>
    <mergeCell ref="A60:C60"/>
    <mergeCell ref="A36:D36"/>
    <mergeCell ref="A25:C25"/>
    <mergeCell ref="A27:D27"/>
    <mergeCell ref="A28:D28"/>
    <mergeCell ref="A21:D21"/>
    <mergeCell ref="B22:C22"/>
    <mergeCell ref="B29:C29"/>
    <mergeCell ref="A32:B32"/>
    <mergeCell ref="A33:B33"/>
    <mergeCell ref="A34:C34"/>
    <mergeCell ref="A35:D35"/>
    <mergeCell ref="B19:C19"/>
    <mergeCell ref="B8:C8"/>
    <mergeCell ref="B9:C9"/>
    <mergeCell ref="B10:C10"/>
    <mergeCell ref="A12:D12"/>
    <mergeCell ref="A14:C14"/>
    <mergeCell ref="A16:D16"/>
    <mergeCell ref="B18:C18"/>
    <mergeCell ref="A1:D1"/>
    <mergeCell ref="A2:D2"/>
    <mergeCell ref="A3:D3"/>
    <mergeCell ref="A4:C4"/>
    <mergeCell ref="A6:D6"/>
    <mergeCell ref="B7:C7"/>
    <mergeCell ref="A11:D11"/>
    <mergeCell ref="A13:C13"/>
    <mergeCell ref="A15:D15"/>
    <mergeCell ref="B17:C17"/>
  </mergeCells>
  <pageMargins left="0.25" right="0.25" top="0.75" bottom="0.75" header="0.3" footer="0.3"/>
  <pageSetup paperSize="9" scale="95"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BD81-60DB-4C81-B131-F3A814927C94}">
  <sheetPr>
    <pageSetUpPr fitToPage="1"/>
  </sheetPr>
  <dimension ref="A1:D135"/>
  <sheetViews>
    <sheetView workbookViewId="0">
      <selection activeCell="A2" sqref="A2:D2"/>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180</v>
      </c>
    </row>
    <row r="14" spans="1:4" x14ac:dyDescent="0.2">
      <c r="A14" s="277" t="s">
        <v>150</v>
      </c>
      <c r="B14" s="277"/>
      <c r="C14" s="277"/>
      <c r="D14" s="111" t="s">
        <v>217</v>
      </c>
    </row>
    <row r="15" spans="1:4" x14ac:dyDescent="0.2">
      <c r="A15" s="274"/>
      <c r="B15" s="274"/>
      <c r="C15" s="274"/>
      <c r="D15" s="275"/>
    </row>
    <row r="16" spans="1:4" ht="13.5" thickBot="1" x14ac:dyDescent="0.25">
      <c r="A16" s="276" t="s">
        <v>49</v>
      </c>
      <c r="B16" s="276"/>
      <c r="C16" s="276"/>
      <c r="D16" s="276"/>
    </row>
    <row r="17" spans="1:4" x14ac:dyDescent="0.2">
      <c r="A17" s="110">
        <v>3</v>
      </c>
      <c r="B17" s="278" t="s">
        <v>194</v>
      </c>
      <c r="C17" s="279"/>
      <c r="D17" s="113">
        <v>4750</v>
      </c>
    </row>
    <row r="18" spans="1:4" x14ac:dyDescent="0.2">
      <c r="A18" s="112">
        <v>4</v>
      </c>
      <c r="B18" s="277" t="s">
        <v>51</v>
      </c>
      <c r="C18" s="277"/>
      <c r="D18" s="112" t="s">
        <v>219</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191</v>
      </c>
      <c r="C23" s="115"/>
      <c r="D23" s="116">
        <f>D17</f>
        <v>4750</v>
      </c>
    </row>
    <row r="24" spans="1:4" x14ac:dyDescent="0.2">
      <c r="A24" s="110" t="s">
        <v>35</v>
      </c>
      <c r="B24" s="110" t="s">
        <v>182</v>
      </c>
      <c r="C24" s="110"/>
      <c r="D24" s="116">
        <f>D19*0.2</f>
        <v>303.60000000000002</v>
      </c>
    </row>
    <row r="25" spans="1:4" x14ac:dyDescent="0.2">
      <c r="A25" s="110" t="s">
        <v>38</v>
      </c>
      <c r="B25" s="110" t="s">
        <v>212</v>
      </c>
      <c r="C25" s="116">
        <f>C26*40%</f>
        <v>2021.4400000000003</v>
      </c>
      <c r="D25" s="116">
        <f>C25*9/12</f>
        <v>1516.0800000000002</v>
      </c>
    </row>
    <row r="26" spans="1:4" x14ac:dyDescent="0.2">
      <c r="A26" s="110" t="s">
        <v>57</v>
      </c>
      <c r="B26" s="110" t="s">
        <v>209</v>
      </c>
      <c r="C26" s="116">
        <f>D23+D24</f>
        <v>5053.6000000000004</v>
      </c>
      <c r="D26" s="116">
        <f>C26*1.2/12</f>
        <v>505.36000000000007</v>
      </c>
    </row>
    <row r="27" spans="1:4" x14ac:dyDescent="0.2">
      <c r="A27" s="284" t="s">
        <v>58</v>
      </c>
      <c r="B27" s="284"/>
      <c r="C27" s="284"/>
      <c r="D27" s="117">
        <f>SUM(D23:D26)</f>
        <v>7075.04</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589.35083199999997</v>
      </c>
    </row>
    <row r="33" spans="1:4" x14ac:dyDescent="0.2">
      <c r="A33" s="111" t="s">
        <v>35</v>
      </c>
      <c r="B33" s="111" t="s">
        <v>64</v>
      </c>
      <c r="C33" s="118">
        <v>2.7799999999999998E-2</v>
      </c>
      <c r="D33" s="119">
        <f>SUM(D27*C33)</f>
        <v>196.68611199999998</v>
      </c>
    </row>
    <row r="34" spans="1:4" x14ac:dyDescent="0.2">
      <c r="A34" s="305" t="s">
        <v>131</v>
      </c>
      <c r="B34" s="306"/>
      <c r="C34" s="120">
        <f>SUM(C32+C33)</f>
        <v>0.1111</v>
      </c>
      <c r="D34" s="121">
        <f>SUM(D32:D33)</f>
        <v>786.03694399999995</v>
      </c>
    </row>
    <row r="35" spans="1:4" x14ac:dyDescent="0.2">
      <c r="A35" s="313" t="s">
        <v>130</v>
      </c>
      <c r="B35" s="293"/>
      <c r="C35" s="123">
        <f>SUM(C40:C47)</f>
        <v>0.36800000000000005</v>
      </c>
      <c r="D35" s="119">
        <f>SUM(D34*C35)</f>
        <v>289.261595392</v>
      </c>
    </row>
    <row r="36" spans="1:4" x14ac:dyDescent="0.2">
      <c r="A36" s="307" t="s">
        <v>58</v>
      </c>
      <c r="B36" s="308"/>
      <c r="C36" s="309"/>
      <c r="D36" s="124">
        <f>SUM(D34+D35)</f>
        <v>1075.2985393919998</v>
      </c>
    </row>
    <row r="37" spans="1:4" x14ac:dyDescent="0.2">
      <c r="A37" s="304"/>
      <c r="B37" s="304"/>
      <c r="C37" s="304"/>
      <c r="D37" s="304"/>
    </row>
    <row r="38" spans="1:4"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1415.008</v>
      </c>
    </row>
    <row r="41" spans="1:4" x14ac:dyDescent="0.2">
      <c r="A41" s="127" t="s">
        <v>35</v>
      </c>
      <c r="B41" s="127" t="s">
        <v>70</v>
      </c>
      <c r="C41" s="123">
        <v>2.5000000000000001E-2</v>
      </c>
      <c r="D41" s="116">
        <f>D27*C41</f>
        <v>176.876</v>
      </c>
    </row>
    <row r="42" spans="1:4" x14ac:dyDescent="0.2">
      <c r="A42" s="127" t="s">
        <v>38</v>
      </c>
      <c r="B42" s="128" t="s">
        <v>71</v>
      </c>
      <c r="C42" s="129">
        <v>0.03</v>
      </c>
      <c r="D42" s="116">
        <f>D27*C42</f>
        <v>212.25119999999998</v>
      </c>
    </row>
    <row r="43" spans="1:4" x14ac:dyDescent="0.2">
      <c r="A43" s="127" t="s">
        <v>57</v>
      </c>
      <c r="B43" s="127" t="s">
        <v>72</v>
      </c>
      <c r="C43" s="123">
        <v>1.4999999999999999E-2</v>
      </c>
      <c r="D43" s="116">
        <f>D27*C43</f>
        <v>106.12559999999999</v>
      </c>
    </row>
    <row r="44" spans="1:4" x14ac:dyDescent="0.2">
      <c r="A44" s="127" t="s">
        <v>41</v>
      </c>
      <c r="B44" s="127" t="s">
        <v>73</v>
      </c>
      <c r="C44" s="123">
        <v>0.01</v>
      </c>
      <c r="D44" s="116">
        <f>D27*C44</f>
        <v>70.750399999999999</v>
      </c>
    </row>
    <row r="45" spans="1:4" x14ac:dyDescent="0.2">
      <c r="A45" s="127" t="s">
        <v>42</v>
      </c>
      <c r="B45" s="127" t="s">
        <v>74</v>
      </c>
      <c r="C45" s="123">
        <v>6.0000000000000001E-3</v>
      </c>
      <c r="D45" s="116">
        <f>D27*C45</f>
        <v>42.450240000000001</v>
      </c>
    </row>
    <row r="46" spans="1:4" x14ac:dyDescent="0.2">
      <c r="A46" s="127" t="s">
        <v>43</v>
      </c>
      <c r="B46" s="127" t="s">
        <v>75</v>
      </c>
      <c r="C46" s="123">
        <v>2E-3</v>
      </c>
      <c r="D46" s="116">
        <f>D27*C46</f>
        <v>14.150080000000001</v>
      </c>
    </row>
    <row r="47" spans="1:4" x14ac:dyDescent="0.2">
      <c r="A47" s="127" t="s">
        <v>44</v>
      </c>
      <c r="B47" s="127" t="s">
        <v>76</v>
      </c>
      <c r="C47" s="123">
        <v>0.08</v>
      </c>
      <c r="D47" s="116">
        <f>D27*C47</f>
        <v>566.00319999999999</v>
      </c>
    </row>
    <row r="48" spans="1:4" x14ac:dyDescent="0.2">
      <c r="A48" s="127"/>
      <c r="B48" s="126" t="s">
        <v>58</v>
      </c>
      <c r="C48" s="123">
        <f>SUM(C40:C47)</f>
        <v>0.36800000000000005</v>
      </c>
      <c r="D48" s="117">
        <f>SUM(D40:D47)</f>
        <v>2603.6147199999996</v>
      </c>
    </row>
    <row r="49" spans="1:4" x14ac:dyDescent="0.2">
      <c r="A49" s="304"/>
      <c r="B49" s="304"/>
      <c r="C49" s="304"/>
      <c r="D49" s="304"/>
    </row>
    <row r="50" spans="1:4" x14ac:dyDescent="0.2">
      <c r="A50" s="296" t="s">
        <v>77</v>
      </c>
      <c r="B50" s="296"/>
      <c r="C50" s="296"/>
      <c r="D50" s="296"/>
    </row>
    <row r="51" spans="1:4" x14ac:dyDescent="0.2">
      <c r="A51" s="114" t="s">
        <v>78</v>
      </c>
      <c r="B51" s="284" t="s">
        <v>79</v>
      </c>
      <c r="C51" s="284"/>
      <c r="D51" s="114" t="s">
        <v>56</v>
      </c>
    </row>
    <row r="52" spans="1:4" s="131" customFormat="1" ht="23.25" customHeight="1" x14ac:dyDescent="0.25">
      <c r="A52" s="110" t="s">
        <v>33</v>
      </c>
      <c r="B52" s="110" t="s">
        <v>214</v>
      </c>
      <c r="C52" s="130">
        <v>5.15</v>
      </c>
      <c r="D52" s="119">
        <f>(2*5.15*15.2) - (D20*6%)</f>
        <v>156.56</v>
      </c>
    </row>
    <row r="53" spans="1:4" x14ac:dyDescent="0.2">
      <c r="A53" s="110" t="s">
        <v>35</v>
      </c>
      <c r="B53" s="132" t="s">
        <v>215</v>
      </c>
      <c r="C53" s="133">
        <v>27.29</v>
      </c>
      <c r="D53" s="134">
        <f>(C53*15.2)-142.69</f>
        <v>272.11799999999999</v>
      </c>
    </row>
    <row r="54" spans="1:4" x14ac:dyDescent="0.2">
      <c r="A54" s="110" t="s">
        <v>38</v>
      </c>
      <c r="B54" s="110" t="s">
        <v>243</v>
      </c>
      <c r="C54" s="167">
        <v>0</v>
      </c>
      <c r="D54" s="136">
        <v>49.23</v>
      </c>
    </row>
    <row r="55" spans="1:4" x14ac:dyDescent="0.2">
      <c r="A55" s="284" t="s">
        <v>58</v>
      </c>
      <c r="B55" s="284"/>
      <c r="C55" s="284"/>
      <c r="D55" s="121">
        <f>SUM(D52:D54)</f>
        <v>477.90800000000002</v>
      </c>
    </row>
    <row r="56" spans="1:4" x14ac:dyDescent="0.2">
      <c r="A56" s="327"/>
      <c r="B56" s="327"/>
      <c r="C56" s="327"/>
      <c r="D56" s="327"/>
    </row>
    <row r="57" spans="1:4"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D36</f>
        <v>1075.2985393919998</v>
      </c>
    </row>
    <row r="60" spans="1:4" x14ac:dyDescent="0.2">
      <c r="A60" s="110" t="s">
        <v>66</v>
      </c>
      <c r="B60" s="297" t="s">
        <v>67</v>
      </c>
      <c r="C60" s="297"/>
      <c r="D60" s="116">
        <f>D48</f>
        <v>2603.6147199999996</v>
      </c>
    </row>
    <row r="61" spans="1:4" x14ac:dyDescent="0.2">
      <c r="A61" s="110" t="s">
        <v>78</v>
      </c>
      <c r="B61" s="297" t="s">
        <v>79</v>
      </c>
      <c r="C61" s="297"/>
      <c r="D61" s="116">
        <f>D55</f>
        <v>477.90800000000002</v>
      </c>
    </row>
    <row r="62" spans="1:4" x14ac:dyDescent="0.2">
      <c r="A62" s="284" t="s">
        <v>58</v>
      </c>
      <c r="B62" s="284"/>
      <c r="C62" s="284"/>
      <c r="D62" s="117">
        <f>SUM(D59:D61)</f>
        <v>4156.8212593919998</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D27*C66</f>
        <v>29.502916800000001</v>
      </c>
    </row>
    <row r="67" spans="1:4" x14ac:dyDescent="0.2">
      <c r="A67" s="111" t="s">
        <v>35</v>
      </c>
      <c r="B67" s="111" t="s">
        <v>86</v>
      </c>
      <c r="C67" s="141">
        <v>3.3399999999999999E-4</v>
      </c>
      <c r="D67" s="142">
        <f>D27*C67</f>
        <v>2.3630633599999999</v>
      </c>
    </row>
    <row r="68" spans="1:4" x14ac:dyDescent="0.2">
      <c r="A68" s="63" t="s">
        <v>38</v>
      </c>
      <c r="B68" s="63" t="s">
        <v>87</v>
      </c>
      <c r="C68" s="143">
        <v>1.6000000000000001E-3</v>
      </c>
      <c r="D68" s="144">
        <f>SUM(D27+D34)*C68</f>
        <v>12.577723110400001</v>
      </c>
    </row>
    <row r="69" spans="1:4" x14ac:dyDescent="0.2">
      <c r="A69" s="111" t="s">
        <v>57</v>
      </c>
      <c r="B69" s="111" t="s">
        <v>88</v>
      </c>
      <c r="C69" s="145">
        <v>1.84E-2</v>
      </c>
      <c r="D69" s="140">
        <f>D27*C69</f>
        <v>130.180736</v>
      </c>
    </row>
    <row r="70" spans="1:4" x14ac:dyDescent="0.2">
      <c r="A70" s="110" t="s">
        <v>41</v>
      </c>
      <c r="B70" s="110" t="s">
        <v>89</v>
      </c>
      <c r="C70" s="146">
        <v>5.4000000000000003E-3</v>
      </c>
      <c r="D70" s="147">
        <f>D27*C70</f>
        <v>38.205216</v>
      </c>
    </row>
    <row r="71" spans="1:4" x14ac:dyDescent="0.2">
      <c r="A71" s="63" t="s">
        <v>42</v>
      </c>
      <c r="B71" s="63" t="s">
        <v>90</v>
      </c>
      <c r="C71" s="143">
        <v>3.04E-2</v>
      </c>
      <c r="D71" s="144">
        <f>(D27+D34)*C71</f>
        <v>238.97673909760002</v>
      </c>
    </row>
    <row r="72" spans="1:4" x14ac:dyDescent="0.2">
      <c r="A72" s="293" t="s">
        <v>58</v>
      </c>
      <c r="B72" s="293"/>
      <c r="C72" s="293"/>
      <c r="D72" s="121">
        <f>SUM(D66:D71)</f>
        <v>451.80639436800004</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D27</f>
        <v>7075.04</v>
      </c>
    </row>
    <row r="76" spans="1:4" x14ac:dyDescent="0.2">
      <c r="A76" s="111" t="s">
        <v>35</v>
      </c>
      <c r="B76" s="111" t="s">
        <v>117</v>
      </c>
      <c r="C76" s="122"/>
      <c r="D76" s="121">
        <f>D62</f>
        <v>4156.8212593919998</v>
      </c>
    </row>
    <row r="77" spans="1:4" x14ac:dyDescent="0.2">
      <c r="A77" s="63" t="s">
        <v>38</v>
      </c>
      <c r="B77" s="63" t="s">
        <v>134</v>
      </c>
      <c r="C77" s="150">
        <f>D75/12</f>
        <v>589.5866666666667</v>
      </c>
      <c r="D77" s="150">
        <f>C77*C48+C77</f>
        <v>806.55456000000004</v>
      </c>
    </row>
    <row r="78" spans="1:4" x14ac:dyDescent="0.2">
      <c r="A78" s="111" t="s">
        <v>57</v>
      </c>
      <c r="B78" s="111" t="s">
        <v>118</v>
      </c>
      <c r="C78" s="122"/>
      <c r="D78" s="121">
        <f>D72</f>
        <v>451.80639436800004</v>
      </c>
    </row>
    <row r="79" spans="1:4" x14ac:dyDescent="0.2">
      <c r="A79" s="111" t="s">
        <v>41</v>
      </c>
      <c r="B79" s="111" t="s">
        <v>135</v>
      </c>
      <c r="C79" s="122"/>
      <c r="D79" s="168">
        <f>-(D52+D53)</f>
        <v>-428.678</v>
      </c>
    </row>
    <row r="80" spans="1:4" x14ac:dyDescent="0.2">
      <c r="A80" s="293" t="s">
        <v>136</v>
      </c>
      <c r="B80" s="293"/>
      <c r="C80" s="293"/>
      <c r="D80" s="121">
        <f>SUM(D75:D79)</f>
        <v>12061.544213760002</v>
      </c>
    </row>
    <row r="81" spans="1:4" ht="13.5" thickBot="1" x14ac:dyDescent="0.25">
      <c r="A81" s="148"/>
      <c r="B81" s="148"/>
      <c r="C81" s="148"/>
      <c r="D81" s="148"/>
    </row>
    <row r="82" spans="1:4" ht="13.5" thickBot="1" x14ac:dyDescent="0.25">
      <c r="A82" s="333" t="s">
        <v>91</v>
      </c>
      <c r="B82" s="334"/>
      <c r="C82" s="334"/>
      <c r="D82" s="335"/>
    </row>
    <row r="83" spans="1:4"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1004.7266330062082</v>
      </c>
    </row>
    <row r="86" spans="1:4" x14ac:dyDescent="0.2">
      <c r="A86" s="111" t="s">
        <v>35</v>
      </c>
      <c r="B86" s="110" t="s">
        <v>138</v>
      </c>
      <c r="C86" s="151">
        <v>2.2200000000000002E-3</v>
      </c>
      <c r="D86" s="119">
        <f>D80*C86</f>
        <v>26.776628154547208</v>
      </c>
    </row>
    <row r="87" spans="1:4" x14ac:dyDescent="0.2">
      <c r="A87" s="111" t="s">
        <v>38</v>
      </c>
      <c r="B87" s="110" t="s">
        <v>96</v>
      </c>
      <c r="C87" s="151">
        <v>2.0000000000000001E-4</v>
      </c>
      <c r="D87" s="119">
        <f>D80*C87</f>
        <v>2.4123088427520005</v>
      </c>
    </row>
    <row r="88" spans="1:4" x14ac:dyDescent="0.2">
      <c r="A88" s="111" t="s">
        <v>57</v>
      </c>
      <c r="B88" s="110" t="s">
        <v>97</v>
      </c>
      <c r="C88" s="151">
        <v>2.7999999999999998E-4</v>
      </c>
      <c r="D88" s="119">
        <f>D80*C88</f>
        <v>3.3772323798528001</v>
      </c>
    </row>
    <row r="89" spans="1:4" x14ac:dyDescent="0.2">
      <c r="A89" s="111"/>
      <c r="B89" s="110" t="s">
        <v>139</v>
      </c>
      <c r="C89" s="151">
        <v>3.5999999999999999E-3</v>
      </c>
      <c r="D89" s="119">
        <f>D80*C89</f>
        <v>43.421559169536003</v>
      </c>
    </row>
    <row r="90" spans="1:4" x14ac:dyDescent="0.2">
      <c r="A90" s="111" t="s">
        <v>41</v>
      </c>
      <c r="B90" s="110" t="s">
        <v>98</v>
      </c>
      <c r="C90" s="151">
        <v>3.8999999999999999E-4</v>
      </c>
      <c r="D90" s="119">
        <f>D80*C90</f>
        <v>4.7040022433664008</v>
      </c>
    </row>
    <row r="91" spans="1:4" x14ac:dyDescent="0.2">
      <c r="A91" s="111" t="s">
        <v>42</v>
      </c>
      <c r="B91" s="110" t="s">
        <v>126</v>
      </c>
      <c r="C91" s="146"/>
      <c r="D91" s="119">
        <f>(($D$27+$D$62+$D$72)-$D$52)*C91</f>
        <v>0</v>
      </c>
    </row>
    <row r="92" spans="1:4" x14ac:dyDescent="0.2">
      <c r="A92" s="122" t="s">
        <v>58</v>
      </c>
      <c r="B92" s="122"/>
      <c r="C92" s="122"/>
      <c r="D92" s="121">
        <f>SUM(D85:D91)</f>
        <v>1085.4183637962626</v>
      </c>
    </row>
    <row r="93" spans="1:4"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1085.4183637962626</v>
      </c>
    </row>
    <row r="101" spans="1:4" x14ac:dyDescent="0.2">
      <c r="A101" s="110" t="s">
        <v>100</v>
      </c>
      <c r="B101" s="154" t="s">
        <v>101</v>
      </c>
      <c r="C101" s="155"/>
      <c r="D101" s="119">
        <f>D96</f>
        <v>0</v>
      </c>
    </row>
    <row r="102" spans="1:4" x14ac:dyDescent="0.2">
      <c r="A102" s="157" t="s">
        <v>58</v>
      </c>
      <c r="B102" s="158"/>
      <c r="C102" s="159"/>
      <c r="D102" s="121">
        <f>SUM(D100:D101)</f>
        <v>1085.4183637962626</v>
      </c>
    </row>
    <row r="103" spans="1:4" x14ac:dyDescent="0.2">
      <c r="A103" s="62" t="s">
        <v>54</v>
      </c>
      <c r="B103" s="62"/>
      <c r="C103" s="62"/>
      <c r="D103" s="62"/>
    </row>
    <row r="104" spans="1:4"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v>0</v>
      </c>
    </row>
    <row r="108" spans="1:4" x14ac:dyDescent="0.2">
      <c r="A108" s="114" t="s">
        <v>58</v>
      </c>
      <c r="B108" s="114"/>
      <c r="C108" s="114"/>
      <c r="D108" s="117">
        <f>D106+D107</f>
        <v>137.56</v>
      </c>
    </row>
    <row r="109" spans="1:4" x14ac:dyDescent="0.2">
      <c r="A109" s="339"/>
      <c r="B109" s="339"/>
      <c r="C109" s="339"/>
      <c r="D109" s="339"/>
    </row>
    <row r="110" spans="1:4"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645.33230087781328</v>
      </c>
    </row>
    <row r="113" spans="1:4" x14ac:dyDescent="0.2">
      <c r="A113" s="110" t="s">
        <v>35</v>
      </c>
      <c r="B113" s="160" t="s">
        <v>110</v>
      </c>
      <c r="C113" s="161">
        <v>0.1</v>
      </c>
      <c r="D113" s="116">
        <f>C113*(D112+D128)</f>
        <v>1355.1978318434078</v>
      </c>
    </row>
    <row r="114" spans="1:4" x14ac:dyDescent="0.2">
      <c r="A114" s="110" t="s">
        <v>38</v>
      </c>
      <c r="B114" s="160" t="s">
        <v>111</v>
      </c>
      <c r="C114" s="162">
        <f>SUM(C115:C117)</f>
        <v>5.6499999999999995E-2</v>
      </c>
      <c r="D114" s="116">
        <f>(D27+D62+D72+D102+D107+D112+D113)*(C115+C116+C117)/(1-(C115+C116+C117))</f>
        <v>884.45502118778791</v>
      </c>
    </row>
    <row r="115" spans="1:4" x14ac:dyDescent="0.2">
      <c r="A115" s="110"/>
      <c r="B115" s="132" t="s">
        <v>112</v>
      </c>
      <c r="C115" s="162">
        <v>6.4999999999999997E-3</v>
      </c>
      <c r="D115" s="116">
        <f>C115*D130</f>
        <v>102.64560261452426</v>
      </c>
    </row>
    <row r="116" spans="1:4" x14ac:dyDescent="0.2">
      <c r="A116" s="110"/>
      <c r="B116" s="132" t="s">
        <v>113</v>
      </c>
      <c r="C116" s="162">
        <v>0.03</v>
      </c>
      <c r="D116" s="116">
        <f>C116*D130</f>
        <v>473.74893514395819</v>
      </c>
    </row>
    <row r="117" spans="1:4" x14ac:dyDescent="0.2">
      <c r="A117" s="110"/>
      <c r="B117" s="110" t="s">
        <v>114</v>
      </c>
      <c r="C117" s="163">
        <v>0.02</v>
      </c>
      <c r="D117" s="116">
        <f>C117*D130</f>
        <v>315.83262342930544</v>
      </c>
    </row>
    <row r="118" spans="1:4" x14ac:dyDescent="0.2">
      <c r="A118" s="114" t="s">
        <v>58</v>
      </c>
      <c r="B118" s="114"/>
      <c r="C118" s="114"/>
      <c r="D118" s="117">
        <f>SUM(D112:D114)</f>
        <v>2884.9851539090087</v>
      </c>
    </row>
    <row r="119" spans="1:4" x14ac:dyDescent="0.2">
      <c r="A119" s="62"/>
      <c r="B119" s="62"/>
      <c r="C119" s="62"/>
      <c r="D119" s="62"/>
    </row>
    <row r="120" spans="1:4"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D27</f>
        <v>7075.04</v>
      </c>
    </row>
    <row r="124" spans="1:4" x14ac:dyDescent="0.2">
      <c r="A124" s="110" t="s">
        <v>35</v>
      </c>
      <c r="B124" s="285" t="s">
        <v>117</v>
      </c>
      <c r="C124" s="286"/>
      <c r="D124" s="116">
        <f>D62</f>
        <v>4156.8212593919998</v>
      </c>
    </row>
    <row r="125" spans="1:4" x14ac:dyDescent="0.2">
      <c r="A125" s="110" t="s">
        <v>38</v>
      </c>
      <c r="B125" s="285" t="s">
        <v>118</v>
      </c>
      <c r="C125" s="286"/>
      <c r="D125" s="116">
        <f>D72</f>
        <v>451.80639436800004</v>
      </c>
    </row>
    <row r="126" spans="1:4" x14ac:dyDescent="0.2">
      <c r="A126" s="110" t="s">
        <v>57</v>
      </c>
      <c r="B126" s="285" t="s">
        <v>119</v>
      </c>
      <c r="C126" s="286"/>
      <c r="D126" s="116">
        <f>D102</f>
        <v>1085.4183637962626</v>
      </c>
    </row>
    <row r="127" spans="1:4" x14ac:dyDescent="0.2">
      <c r="A127" s="110" t="s">
        <v>41</v>
      </c>
      <c r="B127" s="285" t="s">
        <v>120</v>
      </c>
      <c r="C127" s="286"/>
      <c r="D127" s="116">
        <f>D108</f>
        <v>137.56</v>
      </c>
    </row>
    <row r="128" spans="1:4" x14ac:dyDescent="0.2">
      <c r="A128" s="281" t="s">
        <v>121</v>
      </c>
      <c r="B128" s="282"/>
      <c r="C128" s="283"/>
      <c r="D128" s="117">
        <f>SUM(D123:D127)</f>
        <v>12906.646017556264</v>
      </c>
    </row>
    <row r="129" spans="1:4" x14ac:dyDescent="0.2">
      <c r="A129" s="110" t="s">
        <v>42</v>
      </c>
      <c r="B129" s="285" t="s">
        <v>122</v>
      </c>
      <c r="C129" s="286"/>
      <c r="D129" s="116">
        <f>D118</f>
        <v>2884.9851539090087</v>
      </c>
    </row>
    <row r="130" spans="1:4" x14ac:dyDescent="0.2">
      <c r="A130" s="298" t="s">
        <v>123</v>
      </c>
      <c r="B130" s="299"/>
      <c r="C130" s="300"/>
      <c r="D130" s="121">
        <f>SUM(D128+D129)</f>
        <v>15791.631171465273</v>
      </c>
    </row>
    <row r="131" spans="1:4" x14ac:dyDescent="0.2">
      <c r="A131" s="148"/>
      <c r="B131" s="148"/>
      <c r="C131" s="148"/>
      <c r="D131" s="149"/>
    </row>
    <row r="132" spans="1:4" x14ac:dyDescent="0.2">
      <c r="A132" s="148"/>
      <c r="B132" s="148"/>
      <c r="C132" s="122" t="s">
        <v>129</v>
      </c>
      <c r="D132" s="122">
        <v>8</v>
      </c>
    </row>
    <row r="133" spans="1:4" x14ac:dyDescent="0.2">
      <c r="A133" s="62"/>
      <c r="B133" s="62"/>
      <c r="C133" s="111" t="s">
        <v>124</v>
      </c>
      <c r="D133" s="164">
        <f>D132*D130</f>
        <v>126333.04937172218</v>
      </c>
    </row>
    <row r="134" spans="1:4" x14ac:dyDescent="0.2">
      <c r="A134" s="62"/>
      <c r="B134" s="62"/>
      <c r="C134" s="122" t="s">
        <v>128</v>
      </c>
      <c r="D134" s="165">
        <v>12</v>
      </c>
    </row>
    <row r="135" spans="1:4" x14ac:dyDescent="0.2">
      <c r="A135" s="62"/>
      <c r="B135" s="62"/>
      <c r="C135" s="111" t="s">
        <v>125</v>
      </c>
      <c r="D135" s="166">
        <f>D134*D133</f>
        <v>1515996.5924606663</v>
      </c>
    </row>
  </sheetData>
  <mergeCells count="60">
    <mergeCell ref="A128:C128"/>
    <mergeCell ref="B61:C61"/>
    <mergeCell ref="A62:C62"/>
    <mergeCell ref="A64:D64"/>
    <mergeCell ref="A98:D98"/>
    <mergeCell ref="A93:D93"/>
    <mergeCell ref="A38:D38"/>
    <mergeCell ref="A50:D50"/>
    <mergeCell ref="B58:C58"/>
    <mergeCell ref="B59:C59"/>
    <mergeCell ref="B60:C60"/>
    <mergeCell ref="A49:D49"/>
    <mergeCell ref="B51:C51"/>
    <mergeCell ref="A55:C55"/>
    <mergeCell ref="A56:D56"/>
    <mergeCell ref="A57:D57"/>
    <mergeCell ref="B31:C31"/>
    <mergeCell ref="A34:B34"/>
    <mergeCell ref="A36:C36"/>
    <mergeCell ref="A37:D37"/>
    <mergeCell ref="A35:B35"/>
    <mergeCell ref="A30:D30"/>
    <mergeCell ref="A21:D21"/>
    <mergeCell ref="B22:C22"/>
    <mergeCell ref="A27:C27"/>
    <mergeCell ref="A29:D29"/>
    <mergeCell ref="B19:C19"/>
    <mergeCell ref="B8:C8"/>
    <mergeCell ref="B9:C9"/>
    <mergeCell ref="B10:C10"/>
    <mergeCell ref="A12:D12"/>
    <mergeCell ref="A14:C14"/>
    <mergeCell ref="A16:D16"/>
    <mergeCell ref="B18:C18"/>
    <mergeCell ref="A1:D1"/>
    <mergeCell ref="A2:D2"/>
    <mergeCell ref="A3:D3"/>
    <mergeCell ref="A4:C4"/>
    <mergeCell ref="A6:D6"/>
    <mergeCell ref="B7:C7"/>
    <mergeCell ref="A11:D11"/>
    <mergeCell ref="A13:C13"/>
    <mergeCell ref="A15:D15"/>
    <mergeCell ref="B17:C17"/>
    <mergeCell ref="A130:C130"/>
    <mergeCell ref="A72:C72"/>
    <mergeCell ref="A74:D74"/>
    <mergeCell ref="A80:C80"/>
    <mergeCell ref="A82:D82"/>
    <mergeCell ref="A83:D83"/>
    <mergeCell ref="A104:D104"/>
    <mergeCell ref="A110:D110"/>
    <mergeCell ref="A120:D120"/>
    <mergeCell ref="B123:C123"/>
    <mergeCell ref="B124:C124"/>
    <mergeCell ref="B125:C125"/>
    <mergeCell ref="B126:C126"/>
    <mergeCell ref="B127:C127"/>
    <mergeCell ref="A109:D109"/>
    <mergeCell ref="B129:C129"/>
  </mergeCells>
  <pageMargins left="0.25" right="0.25" top="0.75" bottom="0.75" header="0.3" footer="0.3"/>
  <pageSetup paperSize="9" scale="95"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DA4F-DD31-4DDA-9868-273C4457914E}">
  <dimension ref="A1:D135"/>
  <sheetViews>
    <sheetView workbookViewId="0">
      <selection activeCell="A3" sqref="A3:D3"/>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x14ac:dyDescent="0.2">
      <c r="A13" s="277" t="s">
        <v>48</v>
      </c>
      <c r="B13" s="277"/>
      <c r="C13" s="277"/>
      <c r="D13" s="112" t="s">
        <v>301</v>
      </c>
    </row>
    <row r="14" spans="1:4" x14ac:dyDescent="0.2">
      <c r="A14" s="277" t="s">
        <v>150</v>
      </c>
      <c r="B14" s="277"/>
      <c r="C14" s="277"/>
      <c r="D14" s="111" t="s">
        <v>265</v>
      </c>
    </row>
    <row r="15" spans="1:4" x14ac:dyDescent="0.2">
      <c r="A15" s="274"/>
      <c r="B15" s="274"/>
      <c r="C15" s="274"/>
      <c r="D15" s="275"/>
    </row>
    <row r="16" spans="1:4" ht="13.5" thickBot="1" x14ac:dyDescent="0.25">
      <c r="A16" s="276" t="s">
        <v>49</v>
      </c>
      <c r="B16" s="276"/>
      <c r="C16" s="276"/>
      <c r="D16" s="276"/>
    </row>
    <row r="17" spans="1:4" x14ac:dyDescent="0.2">
      <c r="A17" s="110">
        <v>3</v>
      </c>
      <c r="B17" s="278" t="s">
        <v>266</v>
      </c>
      <c r="C17" s="279"/>
      <c r="D17" s="113">
        <v>6215.78</v>
      </c>
    </row>
    <row r="18" spans="1:4" x14ac:dyDescent="0.2">
      <c r="A18" s="112">
        <v>4</v>
      </c>
      <c r="B18" s="277" t="s">
        <v>51</v>
      </c>
      <c r="C18" s="277"/>
      <c r="D18" s="112" t="s">
        <v>267</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218</v>
      </c>
      <c r="C23" s="115"/>
      <c r="D23" s="116">
        <f>D17</f>
        <v>6215.78</v>
      </c>
    </row>
    <row r="24" spans="1:4" x14ac:dyDescent="0.2">
      <c r="A24" s="110" t="s">
        <v>35</v>
      </c>
      <c r="B24" s="110" t="s">
        <v>255</v>
      </c>
      <c r="C24" s="110"/>
      <c r="D24" s="116">
        <f>D19*0.2</f>
        <v>303.60000000000002</v>
      </c>
    </row>
    <row r="25" spans="1:4" x14ac:dyDescent="0.2">
      <c r="A25" s="110" t="s">
        <v>38</v>
      </c>
      <c r="B25" s="110" t="s">
        <v>212</v>
      </c>
      <c r="C25" s="116">
        <v>0</v>
      </c>
      <c r="D25" s="116">
        <f>C25*9/12</f>
        <v>0</v>
      </c>
    </row>
    <row r="26" spans="1:4" x14ac:dyDescent="0.2">
      <c r="A26" s="110" t="s">
        <v>57</v>
      </c>
      <c r="B26" s="110" t="s">
        <v>209</v>
      </c>
      <c r="C26" s="116">
        <v>0</v>
      </c>
      <c r="D26" s="116">
        <f>C26*1.2/12</f>
        <v>0</v>
      </c>
    </row>
    <row r="27" spans="1:4" x14ac:dyDescent="0.2">
      <c r="A27" s="284" t="s">
        <v>58</v>
      </c>
      <c r="B27" s="284"/>
      <c r="C27" s="284"/>
      <c r="D27" s="117">
        <f>SUM(D23:D26)</f>
        <v>6519.38</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543.06435399999998</v>
      </c>
    </row>
    <row r="33" spans="1:4" x14ac:dyDescent="0.2">
      <c r="A33" s="111" t="s">
        <v>35</v>
      </c>
      <c r="B33" s="111" t="s">
        <v>64</v>
      </c>
      <c r="C33" s="118">
        <v>2.7799999999999998E-2</v>
      </c>
      <c r="D33" s="119">
        <f>SUM(D27*C33)</f>
        <v>181.238764</v>
      </c>
    </row>
    <row r="34" spans="1:4" x14ac:dyDescent="0.2">
      <c r="A34" s="305" t="s">
        <v>131</v>
      </c>
      <c r="B34" s="306"/>
      <c r="C34" s="120">
        <f>SUM(C32+C33)</f>
        <v>0.1111</v>
      </c>
      <c r="D34" s="121">
        <f>SUM(D32:D33)</f>
        <v>724.30311800000004</v>
      </c>
    </row>
    <row r="35" spans="1:4" x14ac:dyDescent="0.2">
      <c r="A35" s="313" t="s">
        <v>130</v>
      </c>
      <c r="B35" s="293"/>
      <c r="C35" s="123">
        <f>SUM(C40:C47)</f>
        <v>0.36800000000000005</v>
      </c>
      <c r="D35" s="119">
        <f>SUM(D34*C35)</f>
        <v>266.54354742400005</v>
      </c>
    </row>
    <row r="36" spans="1:4" x14ac:dyDescent="0.2">
      <c r="A36" s="307" t="s">
        <v>58</v>
      </c>
      <c r="B36" s="308"/>
      <c r="C36" s="309"/>
      <c r="D36" s="124">
        <f>SUM(D34+D35)</f>
        <v>990.84666542400009</v>
      </c>
    </row>
    <row r="37" spans="1:4" x14ac:dyDescent="0.2">
      <c r="A37" s="304"/>
      <c r="B37" s="304"/>
      <c r="C37" s="304"/>
      <c r="D37" s="304"/>
    </row>
    <row r="38" spans="1:4"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1303.8760000000002</v>
      </c>
    </row>
    <row r="41" spans="1:4" x14ac:dyDescent="0.2">
      <c r="A41" s="127" t="s">
        <v>35</v>
      </c>
      <c r="B41" s="127" t="s">
        <v>70</v>
      </c>
      <c r="C41" s="123">
        <v>2.5000000000000001E-2</v>
      </c>
      <c r="D41" s="116">
        <f>D27*C41</f>
        <v>162.98450000000003</v>
      </c>
    </row>
    <row r="42" spans="1:4" x14ac:dyDescent="0.2">
      <c r="A42" s="127" t="s">
        <v>38</v>
      </c>
      <c r="B42" s="128" t="s">
        <v>71</v>
      </c>
      <c r="C42" s="129">
        <v>0.03</v>
      </c>
      <c r="D42" s="116">
        <f>D27*C42</f>
        <v>195.5814</v>
      </c>
    </row>
    <row r="43" spans="1:4" x14ac:dyDescent="0.2">
      <c r="A43" s="127" t="s">
        <v>57</v>
      </c>
      <c r="B43" s="127" t="s">
        <v>72</v>
      </c>
      <c r="C43" s="123">
        <v>1.4999999999999999E-2</v>
      </c>
      <c r="D43" s="116">
        <f>D27*C43</f>
        <v>97.790700000000001</v>
      </c>
    </row>
    <row r="44" spans="1:4" x14ac:dyDescent="0.2">
      <c r="A44" s="127" t="s">
        <v>41</v>
      </c>
      <c r="B44" s="127" t="s">
        <v>73</v>
      </c>
      <c r="C44" s="123">
        <v>0.01</v>
      </c>
      <c r="D44" s="116">
        <f>D27*C44</f>
        <v>65.193799999999996</v>
      </c>
    </row>
    <row r="45" spans="1:4" x14ac:dyDescent="0.2">
      <c r="A45" s="127" t="s">
        <v>42</v>
      </c>
      <c r="B45" s="127" t="s">
        <v>74</v>
      </c>
      <c r="C45" s="123">
        <v>6.0000000000000001E-3</v>
      </c>
      <c r="D45" s="116">
        <f>D27*C45</f>
        <v>39.116280000000003</v>
      </c>
    </row>
    <row r="46" spans="1:4" x14ac:dyDescent="0.2">
      <c r="A46" s="127" t="s">
        <v>43</v>
      </c>
      <c r="B46" s="127" t="s">
        <v>75</v>
      </c>
      <c r="C46" s="123">
        <v>2E-3</v>
      </c>
      <c r="D46" s="116">
        <f>D27*C46</f>
        <v>13.03876</v>
      </c>
    </row>
    <row r="47" spans="1:4" x14ac:dyDescent="0.2">
      <c r="A47" s="127" t="s">
        <v>44</v>
      </c>
      <c r="B47" s="127" t="s">
        <v>76</v>
      </c>
      <c r="C47" s="123">
        <v>0.08</v>
      </c>
      <c r="D47" s="116">
        <f>D27*C47</f>
        <v>521.55039999999997</v>
      </c>
    </row>
    <row r="48" spans="1:4" x14ac:dyDescent="0.2">
      <c r="A48" s="127"/>
      <c r="B48" s="126" t="s">
        <v>58</v>
      </c>
      <c r="C48" s="123">
        <f>SUM(C40:C47)</f>
        <v>0.36800000000000005</v>
      </c>
      <c r="D48" s="117">
        <f>SUM(D40:D47)</f>
        <v>2399.13184</v>
      </c>
    </row>
    <row r="49" spans="1:4" x14ac:dyDescent="0.2">
      <c r="A49" s="304"/>
      <c r="B49" s="304"/>
      <c r="C49" s="304"/>
      <c r="D49" s="304"/>
    </row>
    <row r="50" spans="1:4" x14ac:dyDescent="0.2">
      <c r="A50" s="296" t="s">
        <v>77</v>
      </c>
      <c r="B50" s="296"/>
      <c r="C50" s="296"/>
      <c r="D50" s="296"/>
    </row>
    <row r="51" spans="1:4" x14ac:dyDescent="0.2">
      <c r="A51" s="114" t="s">
        <v>78</v>
      </c>
      <c r="B51" s="284" t="s">
        <v>79</v>
      </c>
      <c r="C51" s="284"/>
      <c r="D51" s="114" t="s">
        <v>56</v>
      </c>
    </row>
    <row r="52" spans="1:4" x14ac:dyDescent="0.2">
      <c r="A52" s="110" t="s">
        <v>33</v>
      </c>
      <c r="B52" s="110" t="s">
        <v>214</v>
      </c>
      <c r="C52" s="130">
        <v>5.15</v>
      </c>
      <c r="D52" s="119">
        <f>(2*5.15*22) - (D20*6%)</f>
        <v>226.60000000000002</v>
      </c>
    </row>
    <row r="53" spans="1:4" x14ac:dyDescent="0.2">
      <c r="A53" s="110" t="s">
        <v>35</v>
      </c>
      <c r="B53" s="132" t="s">
        <v>210</v>
      </c>
      <c r="C53" s="133">
        <v>27.29</v>
      </c>
      <c r="D53" s="134">
        <f>(C53*22)-142.69</f>
        <v>457.69</v>
      </c>
    </row>
    <row r="54" spans="1:4" x14ac:dyDescent="0.2">
      <c r="A54" s="110" t="s">
        <v>38</v>
      </c>
      <c r="B54" s="110" t="s">
        <v>243</v>
      </c>
      <c r="C54" s="167">
        <v>0</v>
      </c>
      <c r="D54" s="136">
        <v>49.23</v>
      </c>
    </row>
    <row r="55" spans="1:4" x14ac:dyDescent="0.2">
      <c r="A55" s="284" t="s">
        <v>58</v>
      </c>
      <c r="B55" s="284"/>
      <c r="C55" s="284"/>
      <c r="D55" s="121">
        <f>SUM(D52:D54)</f>
        <v>733.52</v>
      </c>
    </row>
    <row r="56" spans="1:4" x14ac:dyDescent="0.2">
      <c r="A56" s="327"/>
      <c r="B56" s="327"/>
      <c r="C56" s="327"/>
      <c r="D56" s="327"/>
    </row>
    <row r="57" spans="1:4"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D36</f>
        <v>990.84666542400009</v>
      </c>
    </row>
    <row r="60" spans="1:4" x14ac:dyDescent="0.2">
      <c r="A60" s="110" t="s">
        <v>66</v>
      </c>
      <c r="B60" s="297" t="s">
        <v>67</v>
      </c>
      <c r="C60" s="297"/>
      <c r="D60" s="116">
        <f>D48</f>
        <v>2399.13184</v>
      </c>
    </row>
    <row r="61" spans="1:4" x14ac:dyDescent="0.2">
      <c r="A61" s="110" t="s">
        <v>78</v>
      </c>
      <c r="B61" s="297" t="s">
        <v>79</v>
      </c>
      <c r="C61" s="297"/>
      <c r="D61" s="116">
        <f>D55</f>
        <v>733.52</v>
      </c>
    </row>
    <row r="62" spans="1:4" x14ac:dyDescent="0.2">
      <c r="A62" s="284" t="s">
        <v>58</v>
      </c>
      <c r="B62" s="284"/>
      <c r="C62" s="284"/>
      <c r="D62" s="117">
        <f>SUM(D59:D61)</f>
        <v>4123.4985054240005</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D27*C66</f>
        <v>27.1858146</v>
      </c>
    </row>
    <row r="67" spans="1:4" x14ac:dyDescent="0.2">
      <c r="A67" s="111" t="s">
        <v>35</v>
      </c>
      <c r="B67" s="111" t="s">
        <v>86</v>
      </c>
      <c r="C67" s="141">
        <v>3.3399999999999999E-4</v>
      </c>
      <c r="D67" s="142">
        <f>D27*C67</f>
        <v>2.17747292</v>
      </c>
    </row>
    <row r="68" spans="1:4" x14ac:dyDescent="0.2">
      <c r="A68" s="63" t="s">
        <v>38</v>
      </c>
      <c r="B68" s="63" t="s">
        <v>87</v>
      </c>
      <c r="C68" s="143">
        <v>1.6000000000000001E-3</v>
      </c>
      <c r="D68" s="144">
        <f>SUM(D27+D34)*C68</f>
        <v>11.589892988800001</v>
      </c>
    </row>
    <row r="69" spans="1:4" x14ac:dyDescent="0.2">
      <c r="A69" s="111" t="s">
        <v>57</v>
      </c>
      <c r="B69" s="111" t="s">
        <v>88</v>
      </c>
      <c r="C69" s="145">
        <v>1.84E-2</v>
      </c>
      <c r="D69" s="140">
        <f>D27*C69</f>
        <v>119.956592</v>
      </c>
    </row>
    <row r="70" spans="1:4" ht="25.5" x14ac:dyDescent="0.2">
      <c r="A70" s="110" t="s">
        <v>41</v>
      </c>
      <c r="B70" s="110" t="s">
        <v>89</v>
      </c>
      <c r="C70" s="146">
        <v>5.4000000000000003E-3</v>
      </c>
      <c r="D70" s="147">
        <f>D27*C70</f>
        <v>35.204652000000003</v>
      </c>
    </row>
    <row r="71" spans="1:4" x14ac:dyDescent="0.2">
      <c r="A71" s="63" t="s">
        <v>42</v>
      </c>
      <c r="B71" s="63" t="s">
        <v>90</v>
      </c>
      <c r="C71" s="143">
        <v>3.04E-2</v>
      </c>
      <c r="D71" s="144">
        <f>(D27+D34)*C71</f>
        <v>220.20796678720001</v>
      </c>
    </row>
    <row r="72" spans="1:4" x14ac:dyDescent="0.2">
      <c r="A72" s="293" t="s">
        <v>58</v>
      </c>
      <c r="B72" s="293"/>
      <c r="C72" s="293"/>
      <c r="D72" s="121">
        <f>SUM(D66:D71)</f>
        <v>416.32239129600003</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D27</f>
        <v>6519.38</v>
      </c>
    </row>
    <row r="76" spans="1:4" x14ac:dyDescent="0.2">
      <c r="A76" s="111" t="s">
        <v>35</v>
      </c>
      <c r="B76" s="111" t="s">
        <v>117</v>
      </c>
      <c r="C76" s="122"/>
      <c r="D76" s="121">
        <f>D62</f>
        <v>4123.4985054240005</v>
      </c>
    </row>
    <row r="77" spans="1:4" x14ac:dyDescent="0.2">
      <c r="A77" s="63" t="s">
        <v>38</v>
      </c>
      <c r="B77" s="63" t="s">
        <v>134</v>
      </c>
      <c r="C77" s="150">
        <f>D75/12</f>
        <v>543.28166666666664</v>
      </c>
      <c r="D77" s="150">
        <f>C77*C48+C77</f>
        <v>743.20931999999993</v>
      </c>
    </row>
    <row r="78" spans="1:4" x14ac:dyDescent="0.2">
      <c r="A78" s="111" t="s">
        <v>57</v>
      </c>
      <c r="B78" s="111" t="s">
        <v>118</v>
      </c>
      <c r="C78" s="122"/>
      <c r="D78" s="121">
        <f>D72</f>
        <v>416.32239129600003</v>
      </c>
    </row>
    <row r="79" spans="1:4" x14ac:dyDescent="0.2">
      <c r="A79" s="111" t="s">
        <v>41</v>
      </c>
      <c r="B79" s="111" t="s">
        <v>135</v>
      </c>
      <c r="C79" s="122"/>
      <c r="D79" s="168">
        <f>-(D52+D53)</f>
        <v>-684.29</v>
      </c>
    </row>
    <row r="80" spans="1:4" x14ac:dyDescent="0.2">
      <c r="A80" s="293" t="s">
        <v>136</v>
      </c>
      <c r="B80" s="293"/>
      <c r="C80" s="293"/>
      <c r="D80" s="121">
        <f>SUM(D75:D79)</f>
        <v>11118.120216719999</v>
      </c>
    </row>
    <row r="81" spans="1:4" ht="13.5" thickBot="1" x14ac:dyDescent="0.25">
      <c r="A81" s="148"/>
      <c r="B81" s="148"/>
      <c r="C81" s="148"/>
      <c r="D81" s="148"/>
    </row>
    <row r="82" spans="1:4" ht="13.5" thickBot="1" x14ac:dyDescent="0.25">
      <c r="A82" s="333" t="s">
        <v>91</v>
      </c>
      <c r="B82" s="334"/>
      <c r="C82" s="334"/>
      <c r="D82" s="335"/>
    </row>
    <row r="83" spans="1:4"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926.13941405277592</v>
      </c>
    </row>
    <row r="86" spans="1:4" x14ac:dyDescent="0.2">
      <c r="A86" s="111" t="s">
        <v>35</v>
      </c>
      <c r="B86" s="110" t="s">
        <v>138</v>
      </c>
      <c r="C86" s="151">
        <v>2.2200000000000002E-3</v>
      </c>
      <c r="D86" s="119">
        <f>D80*C86</f>
        <v>24.6822268811184</v>
      </c>
    </row>
    <row r="87" spans="1:4" x14ac:dyDescent="0.2">
      <c r="A87" s="111" t="s">
        <v>38</v>
      </c>
      <c r="B87" s="110" t="s">
        <v>96</v>
      </c>
      <c r="C87" s="151">
        <v>2.0000000000000001E-4</v>
      </c>
      <c r="D87" s="119">
        <f>D80*C87</f>
        <v>2.223624043344</v>
      </c>
    </row>
    <row r="88" spans="1:4" x14ac:dyDescent="0.2">
      <c r="A88" s="111" t="s">
        <v>57</v>
      </c>
      <c r="B88" s="110" t="s">
        <v>97</v>
      </c>
      <c r="C88" s="151">
        <v>2.7999999999999998E-4</v>
      </c>
      <c r="D88" s="119">
        <f>D80*C88</f>
        <v>3.1130736606815996</v>
      </c>
    </row>
    <row r="89" spans="1:4" x14ac:dyDescent="0.2">
      <c r="A89" s="111"/>
      <c r="B89" s="110" t="s">
        <v>139</v>
      </c>
      <c r="C89" s="151">
        <v>3.5999999999999999E-3</v>
      </c>
      <c r="D89" s="119">
        <f>D80*C89</f>
        <v>40.025232780191992</v>
      </c>
    </row>
    <row r="90" spans="1:4" x14ac:dyDescent="0.2">
      <c r="A90" s="111" t="s">
        <v>41</v>
      </c>
      <c r="B90" s="110" t="s">
        <v>98</v>
      </c>
      <c r="C90" s="151">
        <v>3.8999999999999999E-4</v>
      </c>
      <c r="D90" s="119">
        <f>D80*C90</f>
        <v>4.3360668845207995</v>
      </c>
    </row>
    <row r="91" spans="1:4" x14ac:dyDescent="0.2">
      <c r="A91" s="111" t="s">
        <v>42</v>
      </c>
      <c r="B91" s="110" t="s">
        <v>126</v>
      </c>
      <c r="C91" s="146"/>
      <c r="D91" s="119">
        <f>(($D$27+$D$62+$D$72)-$D$52)*C91</f>
        <v>0</v>
      </c>
    </row>
    <row r="92" spans="1:4" x14ac:dyDescent="0.2">
      <c r="A92" s="122" t="s">
        <v>58</v>
      </c>
      <c r="B92" s="122"/>
      <c r="C92" s="122"/>
      <c r="D92" s="121">
        <f>SUM(D85:D91)</f>
        <v>1000.5196383026328</v>
      </c>
    </row>
    <row r="93" spans="1:4"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1000.5196383026328</v>
      </c>
    </row>
    <row r="101" spans="1:4" x14ac:dyDescent="0.2">
      <c r="A101" s="110" t="s">
        <v>100</v>
      </c>
      <c r="B101" s="154" t="s">
        <v>101</v>
      </c>
      <c r="C101" s="155"/>
      <c r="D101" s="119">
        <f>D96</f>
        <v>0</v>
      </c>
    </row>
    <row r="102" spans="1:4" x14ac:dyDescent="0.2">
      <c r="A102" s="157" t="s">
        <v>58</v>
      </c>
      <c r="B102" s="158"/>
      <c r="C102" s="159"/>
      <c r="D102" s="121">
        <f>SUM(D100:D101)</f>
        <v>1000.5196383026328</v>
      </c>
    </row>
    <row r="103" spans="1:4" x14ac:dyDescent="0.2">
      <c r="A103" s="62" t="s">
        <v>54</v>
      </c>
      <c r="B103" s="62"/>
      <c r="C103" s="62"/>
      <c r="D103" s="62"/>
    </row>
    <row r="104" spans="1:4"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76.930000000000007</v>
      </c>
    </row>
    <row r="107" spans="1:4" x14ac:dyDescent="0.2">
      <c r="A107" s="110" t="s">
        <v>35</v>
      </c>
      <c r="B107" s="110" t="s">
        <v>164</v>
      </c>
      <c r="C107" s="114"/>
      <c r="D107" s="116">
        <v>0</v>
      </c>
    </row>
    <row r="108" spans="1:4" x14ac:dyDescent="0.2">
      <c r="A108" s="114" t="s">
        <v>58</v>
      </c>
      <c r="B108" s="114"/>
      <c r="C108" s="114"/>
      <c r="D108" s="117">
        <f>D106+D107</f>
        <v>76.930000000000007</v>
      </c>
    </row>
    <row r="109" spans="1:4" x14ac:dyDescent="0.2">
      <c r="A109" s="339"/>
      <c r="B109" s="339"/>
      <c r="C109" s="339"/>
      <c r="D109" s="339"/>
    </row>
    <row r="110" spans="1:4"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606.8325267511317</v>
      </c>
    </row>
    <row r="113" spans="1:4" x14ac:dyDescent="0.2">
      <c r="A113" s="110" t="s">
        <v>35</v>
      </c>
      <c r="B113" s="160" t="s">
        <v>110</v>
      </c>
      <c r="C113" s="161">
        <v>0.1</v>
      </c>
      <c r="D113" s="116">
        <f>C113*(D112+D128)</f>
        <v>1274.3483061773766</v>
      </c>
    </row>
    <row r="114" spans="1:4" x14ac:dyDescent="0.2">
      <c r="A114" s="110" t="s">
        <v>38</v>
      </c>
      <c r="B114" s="160" t="s">
        <v>111</v>
      </c>
      <c r="C114" s="162">
        <f>SUM(C115:C117)</f>
        <v>5.6499999999999995E-2</v>
      </c>
      <c r="D114" s="116">
        <f>(D27+D62+D72+D102+D107+D112+D113)*(C115+C116+C117)/(1-(C115+C116+C117))</f>
        <v>834.82875176389962</v>
      </c>
    </row>
    <row r="115" spans="1:4" x14ac:dyDescent="0.2">
      <c r="A115" s="110"/>
      <c r="B115" s="132" t="s">
        <v>112</v>
      </c>
      <c r="C115" s="162">
        <v>6.4999999999999997E-3</v>
      </c>
      <c r="D115" s="116">
        <f>C115*D130</f>
        <v>96.542290778147759</v>
      </c>
    </row>
    <row r="116" spans="1:4" x14ac:dyDescent="0.2">
      <c r="A116" s="110"/>
      <c r="B116" s="132" t="s">
        <v>113</v>
      </c>
      <c r="C116" s="162">
        <v>0.03</v>
      </c>
      <c r="D116" s="116">
        <f>C116*D130</f>
        <v>445.5798035914512</v>
      </c>
    </row>
    <row r="117" spans="1:4" x14ac:dyDescent="0.2">
      <c r="A117" s="110"/>
      <c r="B117" s="110" t="s">
        <v>114</v>
      </c>
      <c r="C117" s="163">
        <v>0.02</v>
      </c>
      <c r="D117" s="116">
        <f>C117*D130</f>
        <v>297.05320239430085</v>
      </c>
    </row>
    <row r="118" spans="1:4" x14ac:dyDescent="0.2">
      <c r="A118" s="114" t="s">
        <v>58</v>
      </c>
      <c r="B118" s="114"/>
      <c r="C118" s="114"/>
      <c r="D118" s="117">
        <f>SUM(D112:D114)</f>
        <v>2716.0095846924078</v>
      </c>
    </row>
    <row r="119" spans="1:4" x14ac:dyDescent="0.2">
      <c r="A119" s="62"/>
      <c r="B119" s="62"/>
      <c r="C119" s="62"/>
      <c r="D119" s="62"/>
    </row>
    <row r="120" spans="1:4"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D27</f>
        <v>6519.38</v>
      </c>
    </row>
    <row r="124" spans="1:4" x14ac:dyDescent="0.2">
      <c r="A124" s="110" t="s">
        <v>35</v>
      </c>
      <c r="B124" s="285" t="s">
        <v>117</v>
      </c>
      <c r="C124" s="286"/>
      <c r="D124" s="116">
        <f>D62</f>
        <v>4123.4985054240005</v>
      </c>
    </row>
    <row r="125" spans="1:4" x14ac:dyDescent="0.2">
      <c r="A125" s="110" t="s">
        <v>38</v>
      </c>
      <c r="B125" s="285" t="s">
        <v>118</v>
      </c>
      <c r="C125" s="286"/>
      <c r="D125" s="116">
        <f>D72</f>
        <v>416.32239129600003</v>
      </c>
    </row>
    <row r="126" spans="1:4" x14ac:dyDescent="0.2">
      <c r="A126" s="110" t="s">
        <v>57</v>
      </c>
      <c r="B126" s="285" t="s">
        <v>119</v>
      </c>
      <c r="C126" s="286"/>
      <c r="D126" s="116">
        <f>D102</f>
        <v>1000.5196383026328</v>
      </c>
    </row>
    <row r="127" spans="1:4" x14ac:dyDescent="0.2">
      <c r="A127" s="110" t="s">
        <v>41</v>
      </c>
      <c r="B127" s="285" t="s">
        <v>120</v>
      </c>
      <c r="C127" s="286"/>
      <c r="D127" s="116">
        <f>D108</f>
        <v>76.930000000000007</v>
      </c>
    </row>
    <row r="128" spans="1:4" x14ac:dyDescent="0.2">
      <c r="A128" s="281" t="s">
        <v>121</v>
      </c>
      <c r="B128" s="282"/>
      <c r="C128" s="283"/>
      <c r="D128" s="117">
        <f>SUM(D123:D127)</f>
        <v>12136.650535022633</v>
      </c>
    </row>
    <row r="129" spans="1:4" x14ac:dyDescent="0.2">
      <c r="A129" s="110" t="s">
        <v>42</v>
      </c>
      <c r="B129" s="285" t="s">
        <v>122</v>
      </c>
      <c r="C129" s="286"/>
      <c r="D129" s="116">
        <f>D118</f>
        <v>2716.0095846924078</v>
      </c>
    </row>
    <row r="130" spans="1:4" x14ac:dyDescent="0.2">
      <c r="A130" s="298" t="s">
        <v>123</v>
      </c>
      <c r="B130" s="299"/>
      <c r="C130" s="300"/>
      <c r="D130" s="121">
        <f>SUM(D128+D129)</f>
        <v>14852.660119715041</v>
      </c>
    </row>
    <row r="131" spans="1:4" x14ac:dyDescent="0.2">
      <c r="A131" s="148"/>
      <c r="B131" s="148"/>
      <c r="C131" s="148"/>
      <c r="D131" s="149"/>
    </row>
    <row r="132" spans="1:4" x14ac:dyDescent="0.2">
      <c r="A132" s="148"/>
      <c r="B132" s="148"/>
      <c r="C132" s="122" t="s">
        <v>129</v>
      </c>
      <c r="D132" s="122">
        <v>1</v>
      </c>
    </row>
    <row r="133" spans="1:4" x14ac:dyDescent="0.2">
      <c r="A133" s="62"/>
      <c r="B133" s="62"/>
      <c r="C133" s="111" t="s">
        <v>124</v>
      </c>
      <c r="D133" s="164">
        <f>D132*D130</f>
        <v>14852.660119715041</v>
      </c>
    </row>
    <row r="134" spans="1:4" x14ac:dyDescent="0.2">
      <c r="A134" s="62"/>
      <c r="B134" s="62"/>
      <c r="C134" s="122" t="s">
        <v>128</v>
      </c>
      <c r="D134" s="165">
        <v>12</v>
      </c>
    </row>
    <row r="135" spans="1:4" x14ac:dyDescent="0.2">
      <c r="A135" s="62"/>
      <c r="B135" s="62"/>
      <c r="C135" s="111" t="s">
        <v>125</v>
      </c>
      <c r="D135" s="166">
        <f>D134*D133</f>
        <v>178231.92143658048</v>
      </c>
    </row>
  </sheetData>
  <mergeCells count="60">
    <mergeCell ref="A13:C13"/>
    <mergeCell ref="A1:D1"/>
    <mergeCell ref="A2:D2"/>
    <mergeCell ref="A3:D3"/>
    <mergeCell ref="A4:C4"/>
    <mergeCell ref="A6:D6"/>
    <mergeCell ref="B7:C7"/>
    <mergeCell ref="B8:C8"/>
    <mergeCell ref="B9:C9"/>
    <mergeCell ref="B10:C10"/>
    <mergeCell ref="A11:D11"/>
    <mergeCell ref="A12:D12"/>
    <mergeCell ref="B31:C31"/>
    <mergeCell ref="A14:C14"/>
    <mergeCell ref="A15:D15"/>
    <mergeCell ref="A16:D16"/>
    <mergeCell ref="B17:C17"/>
    <mergeCell ref="B18:C18"/>
    <mergeCell ref="B19:C19"/>
    <mergeCell ref="A21:D21"/>
    <mergeCell ref="B22:C22"/>
    <mergeCell ref="A27:C27"/>
    <mergeCell ref="A29:D29"/>
    <mergeCell ref="A30:D30"/>
    <mergeCell ref="B58:C58"/>
    <mergeCell ref="A34:B34"/>
    <mergeCell ref="A35:B35"/>
    <mergeCell ref="A36:C36"/>
    <mergeCell ref="A37:D37"/>
    <mergeCell ref="A38:D38"/>
    <mergeCell ref="A49:D49"/>
    <mergeCell ref="A50:D50"/>
    <mergeCell ref="B51:C51"/>
    <mergeCell ref="A55:C55"/>
    <mergeCell ref="A56:D56"/>
    <mergeCell ref="A57:D57"/>
    <mergeCell ref="A98:D98"/>
    <mergeCell ref="B59:C59"/>
    <mergeCell ref="B60:C60"/>
    <mergeCell ref="B61:C61"/>
    <mergeCell ref="A62:C62"/>
    <mergeCell ref="A64:D64"/>
    <mergeCell ref="A72:C72"/>
    <mergeCell ref="A74:D74"/>
    <mergeCell ref="A80:C80"/>
    <mergeCell ref="A82:D82"/>
    <mergeCell ref="A83:D83"/>
    <mergeCell ref="A93:D93"/>
    <mergeCell ref="A130:C130"/>
    <mergeCell ref="A104:D104"/>
    <mergeCell ref="A109:D109"/>
    <mergeCell ref="A110:D110"/>
    <mergeCell ref="A120:D120"/>
    <mergeCell ref="B123:C123"/>
    <mergeCell ref="B124:C124"/>
    <mergeCell ref="B125:C125"/>
    <mergeCell ref="B126:C126"/>
    <mergeCell ref="B127:C127"/>
    <mergeCell ref="A128:C128"/>
    <mergeCell ref="B129:C129"/>
  </mergeCells>
  <pageMargins left="0.25" right="0.25"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2537-328D-46D7-AD4E-BB130659F4AD}">
  <sheetPr>
    <pageSetUpPr fitToPage="1"/>
  </sheetPr>
  <dimension ref="A1:D139"/>
  <sheetViews>
    <sheetView workbookViewId="0">
      <selection activeCell="I41" sqref="I41"/>
    </sheetView>
  </sheetViews>
  <sheetFormatPr defaultRowHeight="12.75" x14ac:dyDescent="0.2"/>
  <cols>
    <col min="1" max="1" width="5" style="104" bestFit="1" customWidth="1"/>
    <col min="2" max="2" width="61" style="104" bestFit="1" customWidth="1"/>
    <col min="3" max="3" width="17.5703125" style="104" bestFit="1" customWidth="1"/>
    <col min="4" max="4" width="19.85546875" style="104" bestFit="1" customWidth="1"/>
    <col min="5" max="16384" width="9.140625" style="104"/>
  </cols>
  <sheetData>
    <row r="1" spans="1:4" x14ac:dyDescent="0.2">
      <c r="A1" s="314" t="s">
        <v>296</v>
      </c>
      <c r="B1" s="314"/>
      <c r="C1" s="314"/>
      <c r="D1" s="314"/>
    </row>
    <row r="2" spans="1:4" x14ac:dyDescent="0.2">
      <c r="A2" s="315"/>
      <c r="B2" s="314"/>
      <c r="C2" s="314"/>
      <c r="D2" s="316"/>
    </row>
    <row r="3" spans="1:4" ht="13.5" thickBot="1" x14ac:dyDescent="0.25">
      <c r="A3" s="317" t="s">
        <v>30</v>
      </c>
      <c r="B3" s="317"/>
      <c r="C3" s="317"/>
      <c r="D3" s="317"/>
    </row>
    <row r="4" spans="1:4"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257</v>
      </c>
    </row>
    <row r="10" spans="1:4" x14ac:dyDescent="0.2">
      <c r="A10" s="112" t="s">
        <v>57</v>
      </c>
      <c r="B10" s="273" t="s">
        <v>196</v>
      </c>
      <c r="C10" s="275"/>
      <c r="D10" s="111" t="s">
        <v>184</v>
      </c>
    </row>
    <row r="11" spans="1:4" x14ac:dyDescent="0.2">
      <c r="A11" s="112" t="s">
        <v>41</v>
      </c>
      <c r="B11" s="277" t="s">
        <v>40</v>
      </c>
      <c r="C11" s="277"/>
      <c r="D11" s="169">
        <v>45630</v>
      </c>
    </row>
    <row r="12" spans="1:4" x14ac:dyDescent="0.2">
      <c r="A12" s="112" t="s">
        <v>42</v>
      </c>
      <c r="B12" s="277" t="s">
        <v>45</v>
      </c>
      <c r="C12" s="277"/>
      <c r="D12" s="111" t="s">
        <v>46</v>
      </c>
    </row>
    <row r="13" spans="1:4" x14ac:dyDescent="0.2">
      <c r="A13" s="277"/>
      <c r="B13" s="277"/>
      <c r="C13" s="277"/>
      <c r="D13" s="277"/>
    </row>
    <row r="14" spans="1:4" ht="13.5" thickBot="1" x14ac:dyDescent="0.25">
      <c r="A14" s="276" t="s">
        <v>47</v>
      </c>
      <c r="B14" s="276"/>
      <c r="C14" s="276"/>
      <c r="D14" s="276"/>
    </row>
    <row r="15" spans="1:4" x14ac:dyDescent="0.2">
      <c r="A15" s="277" t="s">
        <v>48</v>
      </c>
      <c r="B15" s="277"/>
      <c r="C15" s="277"/>
      <c r="D15" s="112" t="s">
        <v>185</v>
      </c>
    </row>
    <row r="16" spans="1:4" x14ac:dyDescent="0.2">
      <c r="A16" s="277" t="s">
        <v>150</v>
      </c>
      <c r="B16" s="277"/>
      <c r="C16" s="277"/>
      <c r="D16" s="111" t="s">
        <v>217</v>
      </c>
    </row>
    <row r="17" spans="1:4" x14ac:dyDescent="0.2">
      <c r="A17" s="274"/>
      <c r="B17" s="274"/>
      <c r="C17" s="274"/>
      <c r="D17" s="275"/>
    </row>
    <row r="18" spans="1:4" ht="13.5" thickBot="1" x14ac:dyDescent="0.25">
      <c r="A18" s="276" t="s">
        <v>49</v>
      </c>
      <c r="B18" s="276"/>
      <c r="C18" s="276"/>
      <c r="D18" s="276"/>
    </row>
    <row r="19" spans="1:4" x14ac:dyDescent="0.2">
      <c r="A19" s="110">
        <v>3</v>
      </c>
      <c r="B19" s="278" t="s">
        <v>50</v>
      </c>
      <c r="C19" s="279"/>
      <c r="D19" s="113">
        <v>3730.46</v>
      </c>
    </row>
    <row r="20" spans="1:4" x14ac:dyDescent="0.2">
      <c r="A20" s="112">
        <v>4</v>
      </c>
      <c r="B20" s="277" t="s">
        <v>51</v>
      </c>
      <c r="C20" s="277"/>
      <c r="D20" s="112" t="s">
        <v>186</v>
      </c>
    </row>
    <row r="21" spans="1:4" x14ac:dyDescent="0.2">
      <c r="A21" s="112">
        <v>6</v>
      </c>
      <c r="B21" s="277" t="s">
        <v>52</v>
      </c>
      <c r="C21" s="277"/>
      <c r="D21" s="113">
        <v>1518</v>
      </c>
    </row>
    <row r="22" spans="1:4" ht="13.5" thickBot="1" x14ac:dyDescent="0.25">
      <c r="A22" s="62"/>
      <c r="B22" s="62"/>
      <c r="C22" s="62"/>
      <c r="D22" s="62"/>
    </row>
    <row r="23" spans="1:4" ht="13.5" thickBot="1" x14ac:dyDescent="0.25">
      <c r="A23" s="280" t="s">
        <v>53</v>
      </c>
      <c r="B23" s="280"/>
      <c r="C23" s="280"/>
      <c r="D23" s="280"/>
    </row>
    <row r="24" spans="1:4" x14ac:dyDescent="0.2">
      <c r="A24" s="114">
        <v>1</v>
      </c>
      <c r="B24" s="284" t="s">
        <v>55</v>
      </c>
      <c r="C24" s="284"/>
      <c r="D24" s="114" t="s">
        <v>56</v>
      </c>
    </row>
    <row r="25" spans="1:4" x14ac:dyDescent="0.2">
      <c r="A25" s="110" t="s">
        <v>33</v>
      </c>
      <c r="B25" s="110" t="s">
        <v>195</v>
      </c>
      <c r="C25" s="110">
        <v>0</v>
      </c>
      <c r="D25" s="116">
        <f>D19</f>
        <v>3730.46</v>
      </c>
    </row>
    <row r="26" spans="1:4" x14ac:dyDescent="0.2">
      <c r="A26" s="110" t="s">
        <v>35</v>
      </c>
      <c r="B26" s="110" t="s">
        <v>182</v>
      </c>
      <c r="C26" s="110"/>
      <c r="D26" s="116">
        <f>D21*0.2</f>
        <v>303.60000000000002</v>
      </c>
    </row>
    <row r="27" spans="1:4" x14ac:dyDescent="0.2">
      <c r="A27" s="284" t="s">
        <v>58</v>
      </c>
      <c r="B27" s="284"/>
      <c r="C27" s="284"/>
      <c r="D27" s="117">
        <f>SUM(D25:D26)</f>
        <v>4034.06</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336.03719799999999</v>
      </c>
    </row>
    <row r="33" spans="1:4" x14ac:dyDescent="0.2">
      <c r="A33" s="111" t="s">
        <v>35</v>
      </c>
      <c r="B33" s="111" t="s">
        <v>64</v>
      </c>
      <c r="C33" s="118">
        <v>2.7799999999999998E-2</v>
      </c>
      <c r="D33" s="119">
        <f>SUM(D27*C33)</f>
        <v>112.146868</v>
      </c>
    </row>
    <row r="34" spans="1:4" x14ac:dyDescent="0.2">
      <c r="A34" s="305" t="s">
        <v>131</v>
      </c>
      <c r="B34" s="306"/>
      <c r="C34" s="120">
        <f>SUM(C32+C33)</f>
        <v>0.1111</v>
      </c>
      <c r="D34" s="121">
        <f>SUM(D32:D33)</f>
        <v>448.18406599999997</v>
      </c>
    </row>
    <row r="35" spans="1:4" x14ac:dyDescent="0.2">
      <c r="A35" s="313" t="s">
        <v>130</v>
      </c>
      <c r="B35" s="293"/>
      <c r="C35" s="123">
        <f>SUM(C40:C47)</f>
        <v>0.36800000000000005</v>
      </c>
      <c r="D35" s="119">
        <f>SUM(D34*C35)</f>
        <v>164.93173628800002</v>
      </c>
    </row>
    <row r="36" spans="1:4" x14ac:dyDescent="0.2">
      <c r="A36" s="307" t="s">
        <v>58</v>
      </c>
      <c r="B36" s="308"/>
      <c r="C36" s="309"/>
      <c r="D36" s="124">
        <f>SUM(D34+D35)</f>
        <v>613.11580228799994</v>
      </c>
    </row>
    <row r="37" spans="1:4" x14ac:dyDescent="0.2">
      <c r="A37" s="304"/>
      <c r="B37" s="304"/>
      <c r="C37" s="304"/>
      <c r="D37" s="304"/>
    </row>
    <row r="38" spans="1:4"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806.81200000000001</v>
      </c>
    </row>
    <row r="41" spans="1:4" x14ac:dyDescent="0.2">
      <c r="A41" s="127" t="s">
        <v>35</v>
      </c>
      <c r="B41" s="127" t="s">
        <v>70</v>
      </c>
      <c r="C41" s="123">
        <v>2.5000000000000001E-2</v>
      </c>
      <c r="D41" s="116">
        <f>D27*C41</f>
        <v>100.8515</v>
      </c>
    </row>
    <row r="42" spans="1:4" x14ac:dyDescent="0.2">
      <c r="A42" s="127" t="s">
        <v>38</v>
      </c>
      <c r="B42" s="128" t="s">
        <v>71</v>
      </c>
      <c r="C42" s="129">
        <v>0.03</v>
      </c>
      <c r="D42" s="116">
        <f>D27*C42</f>
        <v>121.0218</v>
      </c>
    </row>
    <row r="43" spans="1:4" x14ac:dyDescent="0.2">
      <c r="A43" s="127" t="s">
        <v>57</v>
      </c>
      <c r="B43" s="127" t="s">
        <v>72</v>
      </c>
      <c r="C43" s="123">
        <v>1.4999999999999999E-2</v>
      </c>
      <c r="D43" s="116">
        <f>D27*C43</f>
        <v>60.510899999999999</v>
      </c>
    </row>
    <row r="44" spans="1:4" x14ac:dyDescent="0.2">
      <c r="A44" s="127" t="s">
        <v>41</v>
      </c>
      <c r="B44" s="127" t="s">
        <v>73</v>
      </c>
      <c r="C44" s="123">
        <v>0.01</v>
      </c>
      <c r="D44" s="116">
        <f>D27*C44</f>
        <v>40.340600000000002</v>
      </c>
    </row>
    <row r="45" spans="1:4" x14ac:dyDescent="0.2">
      <c r="A45" s="127" t="s">
        <v>42</v>
      </c>
      <c r="B45" s="127" t="s">
        <v>74</v>
      </c>
      <c r="C45" s="123">
        <v>6.0000000000000001E-3</v>
      </c>
      <c r="D45" s="116">
        <f>D27*C45</f>
        <v>24.204360000000001</v>
      </c>
    </row>
    <row r="46" spans="1:4" x14ac:dyDescent="0.2">
      <c r="A46" s="127" t="s">
        <v>43</v>
      </c>
      <c r="B46" s="127" t="s">
        <v>75</v>
      </c>
      <c r="C46" s="123">
        <v>2E-3</v>
      </c>
      <c r="D46" s="116">
        <f>D27*C46</f>
        <v>8.0681200000000004</v>
      </c>
    </row>
    <row r="47" spans="1:4" x14ac:dyDescent="0.2">
      <c r="A47" s="127" t="s">
        <v>44</v>
      </c>
      <c r="B47" s="127" t="s">
        <v>76</v>
      </c>
      <c r="C47" s="123">
        <v>0.08</v>
      </c>
      <c r="D47" s="116">
        <f>D27*C47</f>
        <v>322.72480000000002</v>
      </c>
    </row>
    <row r="48" spans="1:4" x14ac:dyDescent="0.2">
      <c r="A48" s="127"/>
      <c r="B48" s="126" t="s">
        <v>58</v>
      </c>
      <c r="C48" s="123">
        <f>SUM(C40:C47)</f>
        <v>0.36800000000000005</v>
      </c>
      <c r="D48" s="117">
        <f>SUM(D40:D47)</f>
        <v>1484.5340799999999</v>
      </c>
    </row>
    <row r="49" spans="1:4" x14ac:dyDescent="0.2">
      <c r="A49" s="304"/>
      <c r="B49" s="304"/>
      <c r="C49" s="304"/>
      <c r="D49" s="304"/>
    </row>
    <row r="50" spans="1:4" x14ac:dyDescent="0.2">
      <c r="A50" s="296" t="s">
        <v>77</v>
      </c>
      <c r="B50" s="296"/>
      <c r="C50" s="296"/>
      <c r="D50" s="296"/>
    </row>
    <row r="51" spans="1:4" x14ac:dyDescent="0.2">
      <c r="A51" s="114" t="s">
        <v>78</v>
      </c>
      <c r="B51" s="284" t="s">
        <v>79</v>
      </c>
      <c r="C51" s="284"/>
      <c r="D51" s="114" t="s">
        <v>56</v>
      </c>
    </row>
    <row r="52" spans="1:4" x14ac:dyDescent="0.2">
      <c r="A52" s="110" t="s">
        <v>33</v>
      </c>
      <c r="B52" s="110" t="s">
        <v>140</v>
      </c>
      <c r="C52" s="130"/>
      <c r="D52" s="119">
        <v>0</v>
      </c>
    </row>
    <row r="53" spans="1:4" x14ac:dyDescent="0.2">
      <c r="A53" s="110" t="s">
        <v>35</v>
      </c>
      <c r="B53" s="132" t="s">
        <v>258</v>
      </c>
      <c r="C53" s="133">
        <v>81.87</v>
      </c>
      <c r="D53" s="134">
        <f>(C53*15.2)-379.5</f>
        <v>864.92399999999998</v>
      </c>
    </row>
    <row r="54" spans="1:4" x14ac:dyDescent="0.2">
      <c r="A54" s="110" t="s">
        <v>38</v>
      </c>
      <c r="B54" s="110" t="s">
        <v>193</v>
      </c>
      <c r="C54" s="130"/>
      <c r="D54" s="119">
        <v>0</v>
      </c>
    </row>
    <row r="55" spans="1:4" x14ac:dyDescent="0.2">
      <c r="A55" s="110" t="s">
        <v>57</v>
      </c>
      <c r="B55" s="110" t="s">
        <v>187</v>
      </c>
      <c r="C55" s="135"/>
      <c r="D55" s="136">
        <v>0</v>
      </c>
    </row>
    <row r="56" spans="1:4" x14ac:dyDescent="0.2">
      <c r="A56" s="110" t="s">
        <v>41</v>
      </c>
      <c r="B56" s="110" t="s">
        <v>188</v>
      </c>
      <c r="C56" s="135"/>
      <c r="D56" s="136">
        <v>0</v>
      </c>
    </row>
    <row r="57" spans="1:4" x14ac:dyDescent="0.2">
      <c r="A57" s="110" t="s">
        <v>42</v>
      </c>
      <c r="B57" s="110" t="s">
        <v>189</v>
      </c>
      <c r="C57" s="135"/>
      <c r="D57" s="136">
        <v>0</v>
      </c>
    </row>
    <row r="58" spans="1:4" x14ac:dyDescent="0.2">
      <c r="A58" s="110" t="s">
        <v>43</v>
      </c>
      <c r="B58" s="110" t="s">
        <v>259</v>
      </c>
      <c r="C58" s="181">
        <v>3945.2</v>
      </c>
      <c r="D58" s="136">
        <f>C58/88</f>
        <v>44.831818181818178</v>
      </c>
    </row>
    <row r="59" spans="1:4" x14ac:dyDescent="0.2">
      <c r="A59" s="284" t="s">
        <v>58</v>
      </c>
      <c r="B59" s="284"/>
      <c r="C59" s="284"/>
      <c r="D59" s="121">
        <f>SUM(D52:D58)</f>
        <v>909.7558181818182</v>
      </c>
    </row>
    <row r="60" spans="1:4" x14ac:dyDescent="0.2">
      <c r="A60" s="304"/>
      <c r="B60" s="304"/>
      <c r="C60" s="304"/>
      <c r="D60" s="304"/>
    </row>
    <row r="61" spans="1:4" x14ac:dyDescent="0.2">
      <c r="A61" s="296" t="s">
        <v>80</v>
      </c>
      <c r="B61" s="296"/>
      <c r="C61" s="296"/>
      <c r="D61" s="296"/>
    </row>
    <row r="62" spans="1:4" x14ac:dyDescent="0.2">
      <c r="A62" s="114">
        <v>2</v>
      </c>
      <c r="B62" s="284" t="s">
        <v>81</v>
      </c>
      <c r="C62" s="284"/>
      <c r="D62" s="114" t="s">
        <v>56</v>
      </c>
    </row>
    <row r="63" spans="1:4" x14ac:dyDescent="0.2">
      <c r="A63" s="110" t="s">
        <v>61</v>
      </c>
      <c r="B63" s="297" t="s">
        <v>82</v>
      </c>
      <c r="C63" s="297"/>
      <c r="D63" s="116">
        <f>D36</f>
        <v>613.11580228799994</v>
      </c>
    </row>
    <row r="64" spans="1:4" x14ac:dyDescent="0.2">
      <c r="A64" s="110" t="s">
        <v>66</v>
      </c>
      <c r="B64" s="297" t="s">
        <v>67</v>
      </c>
      <c r="C64" s="297"/>
      <c r="D64" s="116">
        <f>D48</f>
        <v>1484.5340799999999</v>
      </c>
    </row>
    <row r="65" spans="1:4" x14ac:dyDescent="0.2">
      <c r="A65" s="110" t="s">
        <v>78</v>
      </c>
      <c r="B65" s="297" t="s">
        <v>79</v>
      </c>
      <c r="C65" s="297"/>
      <c r="D65" s="116">
        <f>D59</f>
        <v>909.7558181818182</v>
      </c>
    </row>
    <row r="66" spans="1:4" x14ac:dyDescent="0.2">
      <c r="A66" s="284" t="s">
        <v>58</v>
      </c>
      <c r="B66" s="284"/>
      <c r="C66" s="284"/>
      <c r="D66" s="117">
        <f>SUM(D63:D65)</f>
        <v>3007.4057004698179</v>
      </c>
    </row>
    <row r="67" spans="1:4" x14ac:dyDescent="0.2">
      <c r="A67" s="137"/>
      <c r="B67" s="137"/>
      <c r="C67" s="137"/>
      <c r="D67" s="138"/>
    </row>
    <row r="68" spans="1:4" x14ac:dyDescent="0.2">
      <c r="A68" s="294" t="s">
        <v>137</v>
      </c>
      <c r="B68" s="294"/>
      <c r="C68" s="294"/>
      <c r="D68" s="294"/>
    </row>
    <row r="69" spans="1:4" x14ac:dyDescent="0.2">
      <c r="A69" s="122">
        <v>3</v>
      </c>
      <c r="B69" s="114" t="s">
        <v>83</v>
      </c>
      <c r="C69" s="114" t="s">
        <v>84</v>
      </c>
      <c r="D69" s="114" t="s">
        <v>56</v>
      </c>
    </row>
    <row r="70" spans="1:4" x14ac:dyDescent="0.2">
      <c r="A70" s="111" t="s">
        <v>33</v>
      </c>
      <c r="B70" s="111" t="s">
        <v>85</v>
      </c>
      <c r="C70" s="139">
        <v>4.1700000000000001E-3</v>
      </c>
      <c r="D70" s="140">
        <f>D27*C70</f>
        <v>16.8220302</v>
      </c>
    </row>
    <row r="71" spans="1:4" x14ac:dyDescent="0.2">
      <c r="A71" s="111" t="s">
        <v>35</v>
      </c>
      <c r="B71" s="111" t="s">
        <v>86</v>
      </c>
      <c r="C71" s="141">
        <v>3.3399999999999999E-4</v>
      </c>
      <c r="D71" s="142">
        <f>D27*C71</f>
        <v>1.3473760399999999</v>
      </c>
    </row>
    <row r="72" spans="1:4" x14ac:dyDescent="0.2">
      <c r="A72" s="63" t="s">
        <v>38</v>
      </c>
      <c r="B72" s="63" t="s">
        <v>87</v>
      </c>
      <c r="C72" s="143">
        <v>1.6000000000000001E-3</v>
      </c>
      <c r="D72" s="144">
        <f>SUM(D27+D34)*C72</f>
        <v>7.1715905056000011</v>
      </c>
    </row>
    <row r="73" spans="1:4" x14ac:dyDescent="0.2">
      <c r="A73" s="111" t="s">
        <v>57</v>
      </c>
      <c r="B73" s="111" t="s">
        <v>88</v>
      </c>
      <c r="C73" s="145">
        <v>1.84E-2</v>
      </c>
      <c r="D73" s="140">
        <f>D27*C73</f>
        <v>74.226703999999998</v>
      </c>
    </row>
    <row r="74" spans="1:4" x14ac:dyDescent="0.2">
      <c r="A74" s="110" t="s">
        <v>41</v>
      </c>
      <c r="B74" s="110" t="s">
        <v>89</v>
      </c>
      <c r="C74" s="146">
        <v>5.4000000000000003E-3</v>
      </c>
      <c r="D74" s="147">
        <f>D27*C74</f>
        <v>21.783924000000003</v>
      </c>
    </row>
    <row r="75" spans="1:4" x14ac:dyDescent="0.2">
      <c r="A75" s="63" t="s">
        <v>42</v>
      </c>
      <c r="B75" s="63" t="s">
        <v>90</v>
      </c>
      <c r="C75" s="143">
        <v>3.04E-2</v>
      </c>
      <c r="D75" s="144">
        <f>(D27+D34)*C75</f>
        <v>136.2602196064</v>
      </c>
    </row>
    <row r="76" spans="1:4" x14ac:dyDescent="0.2">
      <c r="A76" s="293" t="s">
        <v>58</v>
      </c>
      <c r="B76" s="293"/>
      <c r="C76" s="293"/>
      <c r="D76" s="121">
        <f>SUM(D70:D75)</f>
        <v>257.61184435199999</v>
      </c>
    </row>
    <row r="77" spans="1:4" x14ac:dyDescent="0.2">
      <c r="A77" s="148"/>
      <c r="B77" s="148"/>
      <c r="C77" s="148"/>
      <c r="D77" s="149"/>
    </row>
    <row r="78" spans="1:4" x14ac:dyDescent="0.2">
      <c r="A78" s="295" t="s">
        <v>132</v>
      </c>
      <c r="B78" s="295"/>
      <c r="C78" s="295"/>
      <c r="D78" s="295"/>
    </row>
    <row r="79" spans="1:4" x14ac:dyDescent="0.2">
      <c r="A79" s="111" t="s">
        <v>33</v>
      </c>
      <c r="B79" s="111" t="s">
        <v>133</v>
      </c>
      <c r="C79" s="122"/>
      <c r="D79" s="121">
        <f>D27</f>
        <v>4034.06</v>
      </c>
    </row>
    <row r="80" spans="1:4" x14ac:dyDescent="0.2">
      <c r="A80" s="111" t="s">
        <v>35</v>
      </c>
      <c r="B80" s="111" t="s">
        <v>117</v>
      </c>
      <c r="C80" s="122"/>
      <c r="D80" s="121">
        <f>D66</f>
        <v>3007.4057004698179</v>
      </c>
    </row>
    <row r="81" spans="1:4" x14ac:dyDescent="0.2">
      <c r="A81" s="63" t="s">
        <v>38</v>
      </c>
      <c r="B81" s="63" t="s">
        <v>134</v>
      </c>
      <c r="C81" s="150">
        <f>D79/12</f>
        <v>336.17166666666668</v>
      </c>
      <c r="D81" s="150">
        <f>C81*C48+C81</f>
        <v>459.88284000000004</v>
      </c>
    </row>
    <row r="82" spans="1:4" x14ac:dyDescent="0.2">
      <c r="A82" s="111" t="s">
        <v>57</v>
      </c>
      <c r="B82" s="111" t="s">
        <v>118</v>
      </c>
      <c r="C82" s="122"/>
      <c r="D82" s="121">
        <f>D76</f>
        <v>257.61184435199999</v>
      </c>
    </row>
    <row r="83" spans="1:4" x14ac:dyDescent="0.2">
      <c r="A83" s="111" t="s">
        <v>41</v>
      </c>
      <c r="B83" s="111" t="s">
        <v>135</v>
      </c>
      <c r="C83" s="122"/>
      <c r="D83" s="168">
        <f>-(D52+D53)</f>
        <v>-864.92399999999998</v>
      </c>
    </row>
    <row r="84" spans="1:4" x14ac:dyDescent="0.2">
      <c r="A84" s="293" t="s">
        <v>136</v>
      </c>
      <c r="B84" s="293"/>
      <c r="C84" s="293"/>
      <c r="D84" s="121">
        <f>SUM(D79:D83)</f>
        <v>6894.0363848218185</v>
      </c>
    </row>
    <row r="85" spans="1:4" ht="13.5" thickBot="1" x14ac:dyDescent="0.25">
      <c r="A85" s="148"/>
      <c r="B85" s="148"/>
      <c r="C85" s="148"/>
      <c r="D85" s="148"/>
    </row>
    <row r="86" spans="1:4" ht="13.5" thickBot="1" x14ac:dyDescent="0.25">
      <c r="A86" s="280" t="s">
        <v>91</v>
      </c>
      <c r="B86" s="280"/>
      <c r="C86" s="280"/>
      <c r="D86" s="280"/>
    </row>
    <row r="87" spans="1:4" x14ac:dyDescent="0.2">
      <c r="A87" s="296" t="s">
        <v>92</v>
      </c>
      <c r="B87" s="296"/>
      <c r="C87" s="296"/>
      <c r="D87" s="296"/>
    </row>
    <row r="88" spans="1:4" x14ac:dyDescent="0.2">
      <c r="A88" s="114" t="s">
        <v>93</v>
      </c>
      <c r="B88" s="114" t="s">
        <v>94</v>
      </c>
      <c r="C88" s="114" t="s">
        <v>84</v>
      </c>
      <c r="D88" s="114" t="s">
        <v>56</v>
      </c>
    </row>
    <row r="89" spans="1:4" x14ac:dyDescent="0.2">
      <c r="A89" s="111" t="s">
        <v>33</v>
      </c>
      <c r="B89" s="110" t="s">
        <v>95</v>
      </c>
      <c r="C89" s="123">
        <v>8.3299999999999999E-2</v>
      </c>
      <c r="D89" s="119">
        <f>D84*C89</f>
        <v>574.27323085565752</v>
      </c>
    </row>
    <row r="90" spans="1:4" x14ac:dyDescent="0.2">
      <c r="A90" s="111" t="s">
        <v>35</v>
      </c>
      <c r="B90" s="110" t="s">
        <v>138</v>
      </c>
      <c r="C90" s="151">
        <v>2.2200000000000002E-3</v>
      </c>
      <c r="D90" s="119">
        <f>D84*C90</f>
        <v>15.304760774304439</v>
      </c>
    </row>
    <row r="91" spans="1:4" x14ac:dyDescent="0.2">
      <c r="A91" s="111" t="s">
        <v>38</v>
      </c>
      <c r="B91" s="110" t="s">
        <v>96</v>
      </c>
      <c r="C91" s="151">
        <v>2.0000000000000001E-4</v>
      </c>
      <c r="D91" s="119">
        <f>D84*C91</f>
        <v>1.3788072769643638</v>
      </c>
    </row>
    <row r="92" spans="1:4" x14ac:dyDescent="0.2">
      <c r="A92" s="111" t="s">
        <v>57</v>
      </c>
      <c r="B92" s="110" t="s">
        <v>97</v>
      </c>
      <c r="C92" s="151">
        <v>2.7999999999999998E-4</v>
      </c>
      <c r="D92" s="119">
        <f>D84*C92</f>
        <v>1.9303301877501091</v>
      </c>
    </row>
    <row r="93" spans="1:4" x14ac:dyDescent="0.2">
      <c r="A93" s="111"/>
      <c r="B93" s="110" t="s">
        <v>139</v>
      </c>
      <c r="C93" s="151">
        <v>3.5999999999999999E-3</v>
      </c>
      <c r="D93" s="119">
        <f>D84*C93</f>
        <v>24.818530985358546</v>
      </c>
    </row>
    <row r="94" spans="1:4" x14ac:dyDescent="0.2">
      <c r="A94" s="111" t="s">
        <v>41</v>
      </c>
      <c r="B94" s="110" t="s">
        <v>98</v>
      </c>
      <c r="C94" s="151">
        <v>3.8999999999999999E-4</v>
      </c>
      <c r="D94" s="119">
        <f>D84*C94</f>
        <v>2.6886741900805093</v>
      </c>
    </row>
    <row r="95" spans="1:4" x14ac:dyDescent="0.2">
      <c r="A95" s="111" t="s">
        <v>42</v>
      </c>
      <c r="B95" s="110" t="s">
        <v>126</v>
      </c>
      <c r="C95" s="146"/>
      <c r="D95" s="119">
        <f>(($D$27+$D$66+$D$76)-$D$52)*C95</f>
        <v>0</v>
      </c>
    </row>
    <row r="96" spans="1:4" x14ac:dyDescent="0.2">
      <c r="A96" s="122" t="s">
        <v>58</v>
      </c>
      <c r="B96" s="122"/>
      <c r="C96" s="122"/>
      <c r="D96" s="121">
        <f>SUM(D89:D95)</f>
        <v>620.39433427011545</v>
      </c>
    </row>
    <row r="97" spans="1:4" x14ac:dyDescent="0.2">
      <c r="A97" s="290" t="s">
        <v>99</v>
      </c>
      <c r="B97" s="291"/>
      <c r="C97" s="291"/>
      <c r="D97" s="292"/>
    </row>
    <row r="98" spans="1:4" x14ac:dyDescent="0.2">
      <c r="A98" s="122" t="s">
        <v>100</v>
      </c>
      <c r="B98" s="111" t="s">
        <v>101</v>
      </c>
      <c r="C98" s="111"/>
      <c r="D98" s="114" t="s">
        <v>56</v>
      </c>
    </row>
    <row r="99" spans="1:4" x14ac:dyDescent="0.2">
      <c r="A99" s="111" t="s">
        <v>33</v>
      </c>
      <c r="B99" s="111" t="s">
        <v>102</v>
      </c>
      <c r="C99" s="111"/>
      <c r="D99" s="119">
        <v>0</v>
      </c>
    </row>
    <row r="100" spans="1:4" x14ac:dyDescent="0.2">
      <c r="A100" s="122" t="s">
        <v>58</v>
      </c>
      <c r="B100" s="122"/>
      <c r="C100" s="122"/>
      <c r="D100" s="121"/>
    </row>
    <row r="101" spans="1:4" x14ac:dyDescent="0.2">
      <c r="A101" s="125"/>
      <c r="B101" s="125"/>
      <c r="C101" s="125"/>
      <c r="D101" s="125"/>
    </row>
    <row r="102" spans="1:4" x14ac:dyDescent="0.2">
      <c r="A102" s="287" t="s">
        <v>103</v>
      </c>
      <c r="B102" s="288"/>
      <c r="C102" s="288"/>
      <c r="D102" s="289"/>
    </row>
    <row r="103" spans="1:4" x14ac:dyDescent="0.2">
      <c r="A103" s="114">
        <v>4</v>
      </c>
      <c r="B103" s="152" t="s">
        <v>104</v>
      </c>
      <c r="C103" s="153"/>
      <c r="D103" s="114" t="s">
        <v>56</v>
      </c>
    </row>
    <row r="104" spans="1:4" x14ac:dyDescent="0.2">
      <c r="A104" s="110" t="s">
        <v>93</v>
      </c>
      <c r="B104" s="154" t="s">
        <v>94</v>
      </c>
      <c r="C104" s="155"/>
      <c r="D104" s="156">
        <f>D96</f>
        <v>620.39433427011545</v>
      </c>
    </row>
    <row r="105" spans="1:4" x14ac:dyDescent="0.2">
      <c r="A105" s="110" t="s">
        <v>100</v>
      </c>
      <c r="B105" s="154" t="s">
        <v>101</v>
      </c>
      <c r="C105" s="155"/>
      <c r="D105" s="119">
        <f>D100</f>
        <v>0</v>
      </c>
    </row>
    <row r="106" spans="1:4" x14ac:dyDescent="0.2">
      <c r="A106" s="157" t="s">
        <v>58</v>
      </c>
      <c r="B106" s="158"/>
      <c r="C106" s="159"/>
      <c r="D106" s="121">
        <f>SUM(D104:D105)</f>
        <v>620.39433427011545</v>
      </c>
    </row>
    <row r="107" spans="1:4" x14ac:dyDescent="0.2">
      <c r="A107" s="62" t="s">
        <v>54</v>
      </c>
      <c r="B107" s="62"/>
      <c r="C107" s="62"/>
      <c r="D107" s="62"/>
    </row>
    <row r="108" spans="1:4" x14ac:dyDescent="0.2">
      <c r="A108" s="287" t="s">
        <v>105</v>
      </c>
      <c r="B108" s="288"/>
      <c r="C108" s="288"/>
      <c r="D108" s="289"/>
    </row>
    <row r="109" spans="1:4" x14ac:dyDescent="0.2">
      <c r="A109" s="114">
        <v>5</v>
      </c>
      <c r="B109" s="114" t="s">
        <v>106</v>
      </c>
      <c r="C109" s="114"/>
      <c r="D109" s="114" t="s">
        <v>56</v>
      </c>
    </row>
    <row r="110" spans="1:4" x14ac:dyDescent="0.2">
      <c r="A110" s="132" t="s">
        <v>33</v>
      </c>
      <c r="B110" s="160" t="s">
        <v>141</v>
      </c>
      <c r="C110" s="160"/>
      <c r="D110" s="136">
        <v>137.56</v>
      </c>
    </row>
    <row r="111" spans="1:4" x14ac:dyDescent="0.2">
      <c r="A111" s="110" t="s">
        <v>35</v>
      </c>
      <c r="B111" s="110" t="s">
        <v>164</v>
      </c>
      <c r="C111" s="114"/>
      <c r="D111" s="116">
        <v>0</v>
      </c>
    </row>
    <row r="112" spans="1:4" x14ac:dyDescent="0.2">
      <c r="A112" s="114" t="s">
        <v>58</v>
      </c>
      <c r="B112" s="114"/>
      <c r="C112" s="114"/>
      <c r="D112" s="117">
        <f>D110+D111</f>
        <v>137.56</v>
      </c>
    </row>
    <row r="113" spans="1:4" x14ac:dyDescent="0.2">
      <c r="A113" s="301"/>
      <c r="B113" s="301"/>
      <c r="C113" s="301"/>
      <c r="D113" s="301"/>
    </row>
    <row r="114" spans="1:4" x14ac:dyDescent="0.2">
      <c r="A114" s="287" t="s">
        <v>107</v>
      </c>
      <c r="B114" s="288"/>
      <c r="C114" s="288"/>
      <c r="D114" s="289"/>
    </row>
    <row r="115" spans="1:4" x14ac:dyDescent="0.2">
      <c r="A115" s="114">
        <v>6</v>
      </c>
      <c r="B115" s="114" t="s">
        <v>108</v>
      </c>
      <c r="C115" s="114" t="s">
        <v>68</v>
      </c>
      <c r="D115" s="114" t="s">
        <v>56</v>
      </c>
    </row>
    <row r="116" spans="1:4" x14ac:dyDescent="0.2">
      <c r="A116" s="110" t="s">
        <v>33</v>
      </c>
      <c r="B116" s="160" t="s">
        <v>109</v>
      </c>
      <c r="C116" s="161">
        <v>0.05</v>
      </c>
      <c r="D116" s="116">
        <f>C116*D132</f>
        <v>402.85159395459675</v>
      </c>
    </row>
    <row r="117" spans="1:4" x14ac:dyDescent="0.2">
      <c r="A117" s="110" t="s">
        <v>35</v>
      </c>
      <c r="B117" s="160" t="s">
        <v>110</v>
      </c>
      <c r="C117" s="161">
        <v>0.1</v>
      </c>
      <c r="D117" s="116">
        <f>C117*(D116+D132)</f>
        <v>845.98834730465319</v>
      </c>
    </row>
    <row r="118" spans="1:4" x14ac:dyDescent="0.2">
      <c r="A118" s="110" t="s">
        <v>38</v>
      </c>
      <c r="B118" s="160" t="s">
        <v>111</v>
      </c>
      <c r="C118" s="162">
        <f>SUM(C119:C121)</f>
        <v>5.6499999999999995E-2</v>
      </c>
      <c r="D118" s="116">
        <f>(D27+D66+D76+D106+D111+D116+D117)*(C119+C120+C121)/(1-(C119+C120+C121))</f>
        <v>549.02980164265171</v>
      </c>
    </row>
    <row r="119" spans="1:4" x14ac:dyDescent="0.2">
      <c r="A119" s="110"/>
      <c r="B119" s="132" t="s">
        <v>112</v>
      </c>
      <c r="C119" s="162">
        <v>6.4999999999999997E-3</v>
      </c>
      <c r="D119" s="116">
        <f>C119*D134</f>
        <v>64.056860542959939</v>
      </c>
    </row>
    <row r="120" spans="1:4" x14ac:dyDescent="0.2">
      <c r="A120" s="110"/>
      <c r="B120" s="132" t="s">
        <v>113</v>
      </c>
      <c r="C120" s="162">
        <v>0.03</v>
      </c>
      <c r="D120" s="116">
        <f>C120*D134</f>
        <v>295.64704865981508</v>
      </c>
    </row>
    <row r="121" spans="1:4" x14ac:dyDescent="0.2">
      <c r="A121" s="110"/>
      <c r="B121" s="110" t="s">
        <v>114</v>
      </c>
      <c r="C121" s="163">
        <v>0.02</v>
      </c>
      <c r="D121" s="116">
        <f>C121*D134</f>
        <v>197.09803243987673</v>
      </c>
    </row>
    <row r="122" spans="1:4" x14ac:dyDescent="0.2">
      <c r="A122" s="114" t="s">
        <v>58</v>
      </c>
      <c r="B122" s="114"/>
      <c r="C122" s="114"/>
      <c r="D122" s="117">
        <f>SUM(D116:D118)</f>
        <v>1797.8697429019016</v>
      </c>
    </row>
    <row r="123" spans="1:4" x14ac:dyDescent="0.2">
      <c r="A123" s="62"/>
      <c r="B123" s="62"/>
      <c r="C123" s="62"/>
      <c r="D123" s="62"/>
    </row>
    <row r="124" spans="1:4" x14ac:dyDescent="0.2">
      <c r="A124" s="321" t="s">
        <v>115</v>
      </c>
      <c r="B124" s="322"/>
      <c r="C124" s="322"/>
      <c r="D124" s="323"/>
    </row>
    <row r="125" spans="1:4" x14ac:dyDescent="0.2">
      <c r="A125" s="62" t="s">
        <v>54</v>
      </c>
      <c r="B125" s="62"/>
      <c r="C125" s="62"/>
      <c r="D125" s="62"/>
    </row>
    <row r="126" spans="1:4" x14ac:dyDescent="0.2">
      <c r="A126" s="110"/>
      <c r="B126" s="114" t="s">
        <v>116</v>
      </c>
      <c r="C126" s="114"/>
      <c r="D126" s="114" t="s">
        <v>56</v>
      </c>
    </row>
    <row r="127" spans="1:4" x14ac:dyDescent="0.2">
      <c r="A127" s="110" t="s">
        <v>33</v>
      </c>
      <c r="B127" s="285" t="s">
        <v>53</v>
      </c>
      <c r="C127" s="286"/>
      <c r="D127" s="116">
        <f>D27</f>
        <v>4034.06</v>
      </c>
    </row>
    <row r="128" spans="1:4" x14ac:dyDescent="0.2">
      <c r="A128" s="110" t="s">
        <v>35</v>
      </c>
      <c r="B128" s="285" t="s">
        <v>117</v>
      </c>
      <c r="C128" s="286"/>
      <c r="D128" s="116">
        <f>D66</f>
        <v>3007.4057004698179</v>
      </c>
    </row>
    <row r="129" spans="1:4" x14ac:dyDescent="0.2">
      <c r="A129" s="110" t="s">
        <v>38</v>
      </c>
      <c r="B129" s="285" t="s">
        <v>118</v>
      </c>
      <c r="C129" s="286"/>
      <c r="D129" s="116">
        <f>D76</f>
        <v>257.61184435199999</v>
      </c>
    </row>
    <row r="130" spans="1:4" x14ac:dyDescent="0.2">
      <c r="A130" s="110" t="s">
        <v>57</v>
      </c>
      <c r="B130" s="285" t="s">
        <v>119</v>
      </c>
      <c r="C130" s="286"/>
      <c r="D130" s="116">
        <f>D106</f>
        <v>620.39433427011545</v>
      </c>
    </row>
    <row r="131" spans="1:4" x14ac:dyDescent="0.2">
      <c r="A131" s="110" t="s">
        <v>41</v>
      </c>
      <c r="B131" s="285" t="s">
        <v>120</v>
      </c>
      <c r="C131" s="286"/>
      <c r="D131" s="116">
        <f>D112</f>
        <v>137.56</v>
      </c>
    </row>
    <row r="132" spans="1:4" x14ac:dyDescent="0.2">
      <c r="A132" s="281" t="s">
        <v>121</v>
      </c>
      <c r="B132" s="282"/>
      <c r="C132" s="283"/>
      <c r="D132" s="117">
        <f>SUM(D127:D131)</f>
        <v>8057.0318790919346</v>
      </c>
    </row>
    <row r="133" spans="1:4" x14ac:dyDescent="0.2">
      <c r="A133" s="110" t="s">
        <v>42</v>
      </c>
      <c r="B133" s="285" t="s">
        <v>122</v>
      </c>
      <c r="C133" s="286"/>
      <c r="D133" s="116">
        <f>D122</f>
        <v>1797.8697429019016</v>
      </c>
    </row>
    <row r="134" spans="1:4" x14ac:dyDescent="0.2">
      <c r="A134" s="298" t="s">
        <v>123</v>
      </c>
      <c r="B134" s="299"/>
      <c r="C134" s="300"/>
      <c r="D134" s="121">
        <f>SUM(D132+D133)</f>
        <v>9854.9016219938367</v>
      </c>
    </row>
    <row r="135" spans="1:4" x14ac:dyDescent="0.2">
      <c r="A135" s="148"/>
      <c r="B135" s="148"/>
      <c r="C135" s="148"/>
      <c r="D135" s="149"/>
    </row>
    <row r="136" spans="1:4" x14ac:dyDescent="0.2">
      <c r="A136" s="148"/>
      <c r="B136" s="148"/>
      <c r="C136" s="122" t="s">
        <v>129</v>
      </c>
      <c r="D136" s="122">
        <v>2</v>
      </c>
    </row>
    <row r="137" spans="1:4" x14ac:dyDescent="0.2">
      <c r="A137" s="62"/>
      <c r="B137" s="62"/>
      <c r="C137" s="111" t="s">
        <v>124</v>
      </c>
      <c r="D137" s="164">
        <f>D136*D134</f>
        <v>19709.803243987673</v>
      </c>
    </row>
    <row r="138" spans="1:4" x14ac:dyDescent="0.2">
      <c r="A138" s="62"/>
      <c r="B138" s="62"/>
      <c r="C138" s="122" t="s">
        <v>128</v>
      </c>
      <c r="D138" s="165">
        <v>12</v>
      </c>
    </row>
    <row r="139" spans="1:4" x14ac:dyDescent="0.2">
      <c r="A139" s="62"/>
      <c r="B139" s="62"/>
      <c r="C139" s="111" t="s">
        <v>125</v>
      </c>
      <c r="D139" s="166">
        <f>D138*D137</f>
        <v>236517.63892785209</v>
      </c>
    </row>
  </sheetData>
  <mergeCells count="62">
    <mergeCell ref="B133:C133"/>
    <mergeCell ref="A60:D60"/>
    <mergeCell ref="B62:C62"/>
    <mergeCell ref="B63:C63"/>
    <mergeCell ref="B64:C64"/>
    <mergeCell ref="A61:D61"/>
    <mergeCell ref="B65:C65"/>
    <mergeCell ref="A66:C66"/>
    <mergeCell ref="A68:D68"/>
    <mergeCell ref="A76:C76"/>
    <mergeCell ref="A78:D78"/>
    <mergeCell ref="B20:C20"/>
    <mergeCell ref="B21:C21"/>
    <mergeCell ref="A29:D29"/>
    <mergeCell ref="A34:B34"/>
    <mergeCell ref="A35:B35"/>
    <mergeCell ref="A23:D23"/>
    <mergeCell ref="B24:C24"/>
    <mergeCell ref="A27:C27"/>
    <mergeCell ref="A30:D30"/>
    <mergeCell ref="B31:C31"/>
    <mergeCell ref="A18:D18"/>
    <mergeCell ref="A13:D13"/>
    <mergeCell ref="A15:C15"/>
    <mergeCell ref="A17:D17"/>
    <mergeCell ref="B19:C19"/>
    <mergeCell ref="B7:C7"/>
    <mergeCell ref="B12:C12"/>
    <mergeCell ref="A14:D14"/>
    <mergeCell ref="A16:C16"/>
    <mergeCell ref="A1:D1"/>
    <mergeCell ref="A2:D2"/>
    <mergeCell ref="A3:D3"/>
    <mergeCell ref="A4:C4"/>
    <mergeCell ref="A6:D6"/>
    <mergeCell ref="B8:C8"/>
    <mergeCell ref="B9:C9"/>
    <mergeCell ref="B10:C10"/>
    <mergeCell ref="B11:C11"/>
    <mergeCell ref="A36:C36"/>
    <mergeCell ref="A38:D38"/>
    <mergeCell ref="A50:D50"/>
    <mergeCell ref="B51:C51"/>
    <mergeCell ref="A59:C59"/>
    <mergeCell ref="A37:D37"/>
    <mergeCell ref="A49:D49"/>
    <mergeCell ref="A134:C134"/>
    <mergeCell ref="A84:C84"/>
    <mergeCell ref="A87:D87"/>
    <mergeCell ref="A97:D97"/>
    <mergeCell ref="A114:D114"/>
    <mergeCell ref="A124:D124"/>
    <mergeCell ref="A86:D86"/>
    <mergeCell ref="A102:D102"/>
    <mergeCell ref="A108:D108"/>
    <mergeCell ref="A113:D113"/>
    <mergeCell ref="B127:C127"/>
    <mergeCell ref="B128:C128"/>
    <mergeCell ref="B129:C129"/>
    <mergeCell ref="B130:C130"/>
    <mergeCell ref="B131:C131"/>
    <mergeCell ref="A132:C132"/>
  </mergeCells>
  <pageMargins left="0.25" right="0.25" top="0.75" bottom="0.75" header="0.3" footer="0.3"/>
  <pageSetup paperSize="9" scale="95"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B9A9-5ECD-4E9F-B3EF-23926F9B67B9}">
  <dimension ref="A1:D135"/>
  <sheetViews>
    <sheetView workbookViewId="0">
      <selection activeCell="A3" sqref="A3:D3"/>
    </sheetView>
  </sheetViews>
  <sheetFormatPr defaultRowHeight="12.75" x14ac:dyDescent="0.2"/>
  <cols>
    <col min="1" max="1" width="5" style="104" bestFit="1" customWidth="1"/>
    <col min="2" max="2" width="56.140625" style="104" bestFit="1" customWidth="1"/>
    <col min="3" max="3" width="17.5703125" style="104" bestFit="1" customWidth="1"/>
    <col min="4" max="4" width="19.85546875" style="104" bestFit="1" customWidth="1"/>
    <col min="5" max="16384" width="9.140625" style="104"/>
  </cols>
  <sheetData>
    <row r="1" spans="1:4" x14ac:dyDescent="0.2">
      <c r="A1" s="314" t="s">
        <v>54</v>
      </c>
      <c r="B1" s="314"/>
      <c r="C1" s="314"/>
      <c r="D1" s="314"/>
    </row>
    <row r="2" spans="1:4" x14ac:dyDescent="0.2">
      <c r="A2" s="315"/>
      <c r="B2" s="314"/>
      <c r="C2" s="314"/>
      <c r="D2" s="316"/>
    </row>
    <row r="3" spans="1:4" ht="13.5" thickBot="1" x14ac:dyDescent="0.25">
      <c r="A3" s="317" t="s">
        <v>30</v>
      </c>
      <c r="B3" s="317"/>
      <c r="C3" s="317"/>
      <c r="D3" s="317"/>
    </row>
    <row r="4" spans="1:4" ht="15" customHeight="1" x14ac:dyDescent="0.2">
      <c r="A4" s="318" t="s">
        <v>31</v>
      </c>
      <c r="B4" s="319"/>
      <c r="C4" s="319"/>
      <c r="D4" s="105"/>
    </row>
    <row r="5" spans="1:4" x14ac:dyDescent="0.2">
      <c r="A5" s="106"/>
      <c r="B5" s="107"/>
      <c r="C5" s="107"/>
      <c r="D5" s="107"/>
    </row>
    <row r="6" spans="1:4" ht="13.5" thickBot="1" x14ac:dyDescent="0.25">
      <c r="A6" s="320" t="s">
        <v>32</v>
      </c>
      <c r="B6" s="320"/>
      <c r="C6" s="320"/>
      <c r="D6" s="320"/>
    </row>
    <row r="7" spans="1:4" x14ac:dyDescent="0.2">
      <c r="A7" s="108" t="s">
        <v>33</v>
      </c>
      <c r="B7" s="328" t="s">
        <v>34</v>
      </c>
      <c r="C7" s="328"/>
      <c r="D7" s="109"/>
    </row>
    <row r="8" spans="1:4" x14ac:dyDescent="0.2">
      <c r="A8" s="110" t="s">
        <v>35</v>
      </c>
      <c r="B8" s="329" t="s">
        <v>36</v>
      </c>
      <c r="C8" s="329"/>
      <c r="D8" s="111" t="s">
        <v>37</v>
      </c>
    </row>
    <row r="9" spans="1:4" x14ac:dyDescent="0.2">
      <c r="A9" s="112" t="s">
        <v>38</v>
      </c>
      <c r="B9" s="277" t="s">
        <v>39</v>
      </c>
      <c r="C9" s="277"/>
      <c r="D9" s="111" t="s">
        <v>190</v>
      </c>
    </row>
    <row r="10" spans="1:4" x14ac:dyDescent="0.2">
      <c r="A10" s="112" t="s">
        <v>42</v>
      </c>
      <c r="B10" s="277" t="s">
        <v>45</v>
      </c>
      <c r="C10" s="277"/>
      <c r="D10" s="111" t="s">
        <v>46</v>
      </c>
    </row>
    <row r="11" spans="1:4" x14ac:dyDescent="0.2">
      <c r="A11" s="277"/>
      <c r="B11" s="277"/>
      <c r="C11" s="277"/>
      <c r="D11" s="277"/>
    </row>
    <row r="12" spans="1:4" ht="13.5" thickBot="1" x14ac:dyDescent="0.25">
      <c r="A12" s="276" t="s">
        <v>47</v>
      </c>
      <c r="B12" s="276"/>
      <c r="C12" s="276"/>
      <c r="D12" s="276"/>
    </row>
    <row r="13" spans="1:4" ht="15" customHeight="1" x14ac:dyDescent="0.2">
      <c r="A13" s="277" t="s">
        <v>48</v>
      </c>
      <c r="B13" s="277"/>
      <c r="C13" s="277"/>
      <c r="D13" s="112" t="s">
        <v>180</v>
      </c>
    </row>
    <row r="14" spans="1:4" ht="15" customHeight="1" x14ac:dyDescent="0.2">
      <c r="A14" s="277" t="s">
        <v>150</v>
      </c>
      <c r="B14" s="277"/>
      <c r="C14" s="277"/>
      <c r="D14" s="111" t="s">
        <v>217</v>
      </c>
    </row>
    <row r="15" spans="1:4" x14ac:dyDescent="0.2">
      <c r="A15" s="274"/>
      <c r="B15" s="274"/>
      <c r="C15" s="274"/>
      <c r="D15" s="275"/>
    </row>
    <row r="16" spans="1:4" ht="13.5" thickBot="1" x14ac:dyDescent="0.25">
      <c r="A16" s="276" t="s">
        <v>49</v>
      </c>
      <c r="B16" s="276"/>
      <c r="C16" s="276"/>
      <c r="D16" s="276"/>
    </row>
    <row r="17" spans="1:4" x14ac:dyDescent="0.2">
      <c r="A17" s="110">
        <v>3</v>
      </c>
      <c r="B17" s="278" t="s">
        <v>220</v>
      </c>
      <c r="C17" s="279"/>
      <c r="D17" s="113">
        <v>3325</v>
      </c>
    </row>
    <row r="18" spans="1:4" ht="25.5" x14ac:dyDescent="0.2">
      <c r="A18" s="112">
        <v>4</v>
      </c>
      <c r="B18" s="277" t="s">
        <v>51</v>
      </c>
      <c r="C18" s="277"/>
      <c r="D18" s="112" t="s">
        <v>302</v>
      </c>
    </row>
    <row r="19" spans="1:4" x14ac:dyDescent="0.2">
      <c r="A19" s="112">
        <v>6</v>
      </c>
      <c r="B19" s="277" t="s">
        <v>52</v>
      </c>
      <c r="C19" s="277"/>
      <c r="D19" s="113">
        <v>1518</v>
      </c>
    </row>
    <row r="20" spans="1:4" ht="13.5" thickBot="1" x14ac:dyDescent="0.25">
      <c r="A20" s="62"/>
      <c r="B20" s="62"/>
      <c r="C20" s="62"/>
      <c r="D20" s="62"/>
    </row>
    <row r="21" spans="1:4" ht="13.5" thickBot="1" x14ac:dyDescent="0.25">
      <c r="A21" s="280" t="s">
        <v>53</v>
      </c>
      <c r="B21" s="280"/>
      <c r="C21" s="280"/>
      <c r="D21" s="280"/>
    </row>
    <row r="22" spans="1:4" x14ac:dyDescent="0.2">
      <c r="A22" s="114">
        <v>1</v>
      </c>
      <c r="B22" s="284" t="s">
        <v>55</v>
      </c>
      <c r="C22" s="284"/>
      <c r="D22" s="114" t="s">
        <v>56</v>
      </c>
    </row>
    <row r="23" spans="1:4" x14ac:dyDescent="0.2">
      <c r="A23" s="110" t="s">
        <v>33</v>
      </c>
      <c r="B23" s="110" t="s">
        <v>218</v>
      </c>
      <c r="C23" s="115"/>
      <c r="D23" s="116">
        <f>D17</f>
        <v>3325</v>
      </c>
    </row>
    <row r="24" spans="1:4" x14ac:dyDescent="0.2">
      <c r="A24" s="110" t="s">
        <v>35</v>
      </c>
      <c r="B24" s="110" t="s">
        <v>255</v>
      </c>
      <c r="C24" s="110"/>
      <c r="D24" s="116">
        <f>D19*0.2</f>
        <v>303.60000000000002</v>
      </c>
    </row>
    <row r="25" spans="1:4" x14ac:dyDescent="0.2">
      <c r="A25" s="110" t="s">
        <v>38</v>
      </c>
      <c r="B25" s="110" t="s">
        <v>212</v>
      </c>
      <c r="C25" s="116">
        <v>0</v>
      </c>
      <c r="D25" s="116">
        <f>C25*9/12</f>
        <v>0</v>
      </c>
    </row>
    <row r="26" spans="1:4" x14ac:dyDescent="0.2">
      <c r="A26" s="110" t="s">
        <v>57</v>
      </c>
      <c r="B26" s="110" t="s">
        <v>209</v>
      </c>
      <c r="C26" s="116">
        <v>0</v>
      </c>
      <c r="D26" s="116">
        <f>C26*1.2/12</f>
        <v>0</v>
      </c>
    </row>
    <row r="27" spans="1:4" x14ac:dyDescent="0.2">
      <c r="A27" s="284" t="s">
        <v>58</v>
      </c>
      <c r="B27" s="284"/>
      <c r="C27" s="284"/>
      <c r="D27" s="117">
        <f>SUM(D23:D26)</f>
        <v>3628.6</v>
      </c>
    </row>
    <row r="28" spans="1:4" ht="13.5" thickBot="1" x14ac:dyDescent="0.25">
      <c r="A28" s="62" t="s">
        <v>54</v>
      </c>
      <c r="B28" s="62"/>
      <c r="C28" s="62"/>
      <c r="D28" s="62"/>
    </row>
    <row r="29" spans="1:4" ht="13.5" thickBot="1" x14ac:dyDescent="0.25">
      <c r="A29" s="280" t="s">
        <v>59</v>
      </c>
      <c r="B29" s="280"/>
      <c r="C29" s="280"/>
      <c r="D29" s="280"/>
    </row>
    <row r="30" spans="1:4" x14ac:dyDescent="0.2">
      <c r="A30" s="312" t="s">
        <v>60</v>
      </c>
      <c r="B30" s="312"/>
      <c r="C30" s="312"/>
      <c r="D30" s="312"/>
    </row>
    <row r="31" spans="1:4" x14ac:dyDescent="0.2">
      <c r="A31" s="114" t="s">
        <v>61</v>
      </c>
      <c r="B31" s="284" t="s">
        <v>62</v>
      </c>
      <c r="C31" s="284"/>
      <c r="D31" s="114" t="s">
        <v>56</v>
      </c>
    </row>
    <row r="32" spans="1:4" x14ac:dyDescent="0.2">
      <c r="A32" s="111" t="s">
        <v>33</v>
      </c>
      <c r="B32" s="111" t="s">
        <v>63</v>
      </c>
      <c r="C32" s="118">
        <v>8.3299999999999999E-2</v>
      </c>
      <c r="D32" s="119">
        <f>C32*D27</f>
        <v>302.26238000000001</v>
      </c>
    </row>
    <row r="33" spans="1:4" x14ac:dyDescent="0.2">
      <c r="A33" s="111" t="s">
        <v>35</v>
      </c>
      <c r="B33" s="111" t="s">
        <v>64</v>
      </c>
      <c r="C33" s="118">
        <v>2.7799999999999998E-2</v>
      </c>
      <c r="D33" s="119">
        <f>SUM(D27*C33)</f>
        <v>100.87508</v>
      </c>
    </row>
    <row r="34" spans="1:4" x14ac:dyDescent="0.2">
      <c r="A34" s="305" t="s">
        <v>131</v>
      </c>
      <c r="B34" s="306"/>
      <c r="C34" s="120">
        <f>SUM(C32+C33)</f>
        <v>0.1111</v>
      </c>
      <c r="D34" s="121">
        <f>SUM(D32:D33)</f>
        <v>403.13746000000003</v>
      </c>
    </row>
    <row r="35" spans="1:4" x14ac:dyDescent="0.2">
      <c r="A35" s="313" t="s">
        <v>130</v>
      </c>
      <c r="B35" s="293"/>
      <c r="C35" s="123">
        <f>SUM(C40:C47)</f>
        <v>0.36800000000000005</v>
      </c>
      <c r="D35" s="119">
        <f>SUM(D34*C35)</f>
        <v>148.35458528000004</v>
      </c>
    </row>
    <row r="36" spans="1:4" x14ac:dyDescent="0.2">
      <c r="A36" s="307" t="s">
        <v>58</v>
      </c>
      <c r="B36" s="308"/>
      <c r="C36" s="309"/>
      <c r="D36" s="124">
        <f>SUM(D34+D35)</f>
        <v>551.49204528000007</v>
      </c>
    </row>
    <row r="37" spans="1:4" x14ac:dyDescent="0.2">
      <c r="A37" s="304"/>
      <c r="B37" s="304"/>
      <c r="C37" s="304"/>
      <c r="D37" s="304"/>
    </row>
    <row r="38" spans="1:4" ht="15" customHeight="1" x14ac:dyDescent="0.2">
      <c r="A38" s="296" t="s">
        <v>65</v>
      </c>
      <c r="B38" s="296"/>
      <c r="C38" s="296"/>
      <c r="D38" s="296"/>
    </row>
    <row r="39" spans="1:4" x14ac:dyDescent="0.2">
      <c r="A39" s="126" t="s">
        <v>66</v>
      </c>
      <c r="B39" s="126" t="s">
        <v>67</v>
      </c>
      <c r="C39" s="126" t="s">
        <v>68</v>
      </c>
      <c r="D39" s="126" t="s">
        <v>56</v>
      </c>
    </row>
    <row r="40" spans="1:4" x14ac:dyDescent="0.2">
      <c r="A40" s="127" t="s">
        <v>33</v>
      </c>
      <c r="B40" s="127" t="s">
        <v>69</v>
      </c>
      <c r="C40" s="123">
        <v>0.2</v>
      </c>
      <c r="D40" s="116">
        <f>D27*C40</f>
        <v>725.72</v>
      </c>
    </row>
    <row r="41" spans="1:4" x14ac:dyDescent="0.2">
      <c r="A41" s="127" t="s">
        <v>35</v>
      </c>
      <c r="B41" s="127" t="s">
        <v>70</v>
      </c>
      <c r="C41" s="123">
        <v>2.5000000000000001E-2</v>
      </c>
      <c r="D41" s="116">
        <f>D27*C41</f>
        <v>90.715000000000003</v>
      </c>
    </row>
    <row r="42" spans="1:4" x14ac:dyDescent="0.2">
      <c r="A42" s="127" t="s">
        <v>38</v>
      </c>
      <c r="B42" s="128" t="s">
        <v>71</v>
      </c>
      <c r="C42" s="129">
        <v>0.03</v>
      </c>
      <c r="D42" s="116">
        <f>D27*C42</f>
        <v>108.85799999999999</v>
      </c>
    </row>
    <row r="43" spans="1:4" x14ac:dyDescent="0.2">
      <c r="A43" s="127" t="s">
        <v>57</v>
      </c>
      <c r="B43" s="127" t="s">
        <v>72</v>
      </c>
      <c r="C43" s="123">
        <v>1.4999999999999999E-2</v>
      </c>
      <c r="D43" s="116">
        <f>D27*C43</f>
        <v>54.428999999999995</v>
      </c>
    </row>
    <row r="44" spans="1:4" x14ac:dyDescent="0.2">
      <c r="A44" s="127" t="s">
        <v>41</v>
      </c>
      <c r="B44" s="127" t="s">
        <v>73</v>
      </c>
      <c r="C44" s="123">
        <v>0.01</v>
      </c>
      <c r="D44" s="116">
        <f>D27*C44</f>
        <v>36.286000000000001</v>
      </c>
    </row>
    <row r="45" spans="1:4" x14ac:dyDescent="0.2">
      <c r="A45" s="127" t="s">
        <v>42</v>
      </c>
      <c r="B45" s="127" t="s">
        <v>74</v>
      </c>
      <c r="C45" s="123">
        <v>6.0000000000000001E-3</v>
      </c>
      <c r="D45" s="116">
        <f>D27*C45</f>
        <v>21.771599999999999</v>
      </c>
    </row>
    <row r="46" spans="1:4" x14ac:dyDescent="0.2">
      <c r="A46" s="127" t="s">
        <v>43</v>
      </c>
      <c r="B46" s="127" t="s">
        <v>75</v>
      </c>
      <c r="C46" s="123">
        <v>2E-3</v>
      </c>
      <c r="D46" s="116">
        <f>D27*C46</f>
        <v>7.2572000000000001</v>
      </c>
    </row>
    <row r="47" spans="1:4" x14ac:dyDescent="0.2">
      <c r="A47" s="127" t="s">
        <v>44</v>
      </c>
      <c r="B47" s="127" t="s">
        <v>76</v>
      </c>
      <c r="C47" s="123">
        <v>0.08</v>
      </c>
      <c r="D47" s="116">
        <f>D27*C47</f>
        <v>290.28800000000001</v>
      </c>
    </row>
    <row r="48" spans="1:4" x14ac:dyDescent="0.2">
      <c r="A48" s="127"/>
      <c r="B48" s="126" t="s">
        <v>58</v>
      </c>
      <c r="C48" s="123">
        <f>SUM(C40:C47)</f>
        <v>0.36800000000000005</v>
      </c>
      <c r="D48" s="117">
        <f>SUM(D40:D47)</f>
        <v>1335.3248000000001</v>
      </c>
    </row>
    <row r="49" spans="1:4" x14ac:dyDescent="0.2">
      <c r="A49" s="304"/>
      <c r="B49" s="304"/>
      <c r="C49" s="304"/>
      <c r="D49" s="304"/>
    </row>
    <row r="50" spans="1:4" ht="15" customHeight="1" x14ac:dyDescent="0.2">
      <c r="A50" s="296" t="s">
        <v>77</v>
      </c>
      <c r="B50" s="296"/>
      <c r="C50" s="296"/>
      <c r="D50" s="296"/>
    </row>
    <row r="51" spans="1:4" x14ac:dyDescent="0.2">
      <c r="A51" s="114" t="s">
        <v>78</v>
      </c>
      <c r="B51" s="284" t="s">
        <v>79</v>
      </c>
      <c r="C51" s="284"/>
      <c r="D51" s="114" t="s">
        <v>56</v>
      </c>
    </row>
    <row r="52" spans="1:4" x14ac:dyDescent="0.2">
      <c r="A52" s="110" t="s">
        <v>33</v>
      </c>
      <c r="B52" s="110" t="s">
        <v>214</v>
      </c>
      <c r="C52" s="130">
        <v>5.15</v>
      </c>
      <c r="D52" s="119">
        <f>(2*5.15*15.2) - (D20*6%)</f>
        <v>156.56</v>
      </c>
    </row>
    <row r="53" spans="1:4" x14ac:dyDescent="0.2">
      <c r="A53" s="110" t="s">
        <v>35</v>
      </c>
      <c r="B53" s="132" t="s">
        <v>254</v>
      </c>
      <c r="C53" s="133">
        <v>27.29</v>
      </c>
      <c r="D53" s="134">
        <f>(C53*15.2)-142.69</f>
        <v>272.11799999999999</v>
      </c>
    </row>
    <row r="54" spans="1:4" x14ac:dyDescent="0.2">
      <c r="A54" s="110" t="s">
        <v>38</v>
      </c>
      <c r="B54" s="110" t="s">
        <v>243</v>
      </c>
      <c r="C54" s="167">
        <v>0</v>
      </c>
      <c r="D54" s="136">
        <v>49.23</v>
      </c>
    </row>
    <row r="55" spans="1:4" x14ac:dyDescent="0.2">
      <c r="A55" s="284" t="s">
        <v>58</v>
      </c>
      <c r="B55" s="284"/>
      <c r="C55" s="284"/>
      <c r="D55" s="121">
        <f>SUM(D52:D54)</f>
        <v>477.90800000000002</v>
      </c>
    </row>
    <row r="56" spans="1:4" x14ac:dyDescent="0.2">
      <c r="A56" s="327"/>
      <c r="B56" s="327"/>
      <c r="C56" s="327"/>
      <c r="D56" s="327"/>
    </row>
    <row r="57" spans="1:4" ht="15" customHeight="1" x14ac:dyDescent="0.2">
      <c r="A57" s="287" t="s">
        <v>80</v>
      </c>
      <c r="B57" s="288"/>
      <c r="C57" s="288"/>
      <c r="D57" s="289"/>
    </row>
    <row r="58" spans="1:4" x14ac:dyDescent="0.2">
      <c r="A58" s="114">
        <v>2</v>
      </c>
      <c r="B58" s="284" t="s">
        <v>81</v>
      </c>
      <c r="C58" s="284"/>
      <c r="D58" s="114" t="s">
        <v>56</v>
      </c>
    </row>
    <row r="59" spans="1:4" x14ac:dyDescent="0.2">
      <c r="A59" s="110" t="s">
        <v>61</v>
      </c>
      <c r="B59" s="297" t="s">
        <v>82</v>
      </c>
      <c r="C59" s="297"/>
      <c r="D59" s="116">
        <f>D36</f>
        <v>551.49204528000007</v>
      </c>
    </row>
    <row r="60" spans="1:4" x14ac:dyDescent="0.2">
      <c r="A60" s="110" t="s">
        <v>66</v>
      </c>
      <c r="B60" s="297" t="s">
        <v>67</v>
      </c>
      <c r="C60" s="297"/>
      <c r="D60" s="116">
        <f>D48</f>
        <v>1335.3248000000001</v>
      </c>
    </row>
    <row r="61" spans="1:4" x14ac:dyDescent="0.2">
      <c r="A61" s="110" t="s">
        <v>78</v>
      </c>
      <c r="B61" s="297" t="s">
        <v>79</v>
      </c>
      <c r="C61" s="297"/>
      <c r="D61" s="116">
        <f>D55</f>
        <v>477.90800000000002</v>
      </c>
    </row>
    <row r="62" spans="1:4" x14ac:dyDescent="0.2">
      <c r="A62" s="284" t="s">
        <v>58</v>
      </c>
      <c r="B62" s="284"/>
      <c r="C62" s="284"/>
      <c r="D62" s="117">
        <f>SUM(D59:D61)</f>
        <v>2364.72484528</v>
      </c>
    </row>
    <row r="63" spans="1:4" x14ac:dyDescent="0.2">
      <c r="A63" s="137"/>
      <c r="B63" s="137"/>
      <c r="C63" s="137"/>
      <c r="D63" s="138"/>
    </row>
    <row r="64" spans="1:4" x14ac:dyDescent="0.2">
      <c r="A64" s="324" t="s">
        <v>137</v>
      </c>
      <c r="B64" s="325"/>
      <c r="C64" s="325"/>
      <c r="D64" s="326"/>
    </row>
    <row r="65" spans="1:4" x14ac:dyDescent="0.2">
      <c r="A65" s="122">
        <v>3</v>
      </c>
      <c r="B65" s="114" t="s">
        <v>83</v>
      </c>
      <c r="C65" s="114" t="s">
        <v>84</v>
      </c>
      <c r="D65" s="114" t="s">
        <v>56</v>
      </c>
    </row>
    <row r="66" spans="1:4" x14ac:dyDescent="0.2">
      <c r="A66" s="111" t="s">
        <v>33</v>
      </c>
      <c r="B66" s="111" t="s">
        <v>85</v>
      </c>
      <c r="C66" s="139">
        <v>4.1700000000000001E-3</v>
      </c>
      <c r="D66" s="140">
        <f>D27*C66</f>
        <v>15.131262</v>
      </c>
    </row>
    <row r="67" spans="1:4" x14ac:dyDescent="0.2">
      <c r="A67" s="111" t="s">
        <v>35</v>
      </c>
      <c r="B67" s="111" t="s">
        <v>86</v>
      </c>
      <c r="C67" s="141">
        <v>3.3399999999999999E-4</v>
      </c>
      <c r="D67" s="142">
        <f>D27*C67</f>
        <v>1.2119523999999999</v>
      </c>
    </row>
    <row r="68" spans="1:4" x14ac:dyDescent="0.2">
      <c r="A68" s="63" t="s">
        <v>38</v>
      </c>
      <c r="B68" s="63" t="s">
        <v>87</v>
      </c>
      <c r="C68" s="143">
        <v>1.6000000000000001E-3</v>
      </c>
      <c r="D68" s="144">
        <f>SUM(D27+D34)*C68</f>
        <v>6.450779936</v>
      </c>
    </row>
    <row r="69" spans="1:4" x14ac:dyDescent="0.2">
      <c r="A69" s="111" t="s">
        <v>57</v>
      </c>
      <c r="B69" s="111" t="s">
        <v>88</v>
      </c>
      <c r="C69" s="145">
        <v>1.84E-2</v>
      </c>
      <c r="D69" s="140">
        <f>D27*C69</f>
        <v>66.766239999999996</v>
      </c>
    </row>
    <row r="70" spans="1:4" ht="25.5" x14ac:dyDescent="0.2">
      <c r="A70" s="110" t="s">
        <v>41</v>
      </c>
      <c r="B70" s="110" t="s">
        <v>89</v>
      </c>
      <c r="C70" s="146">
        <v>5.4000000000000003E-3</v>
      </c>
      <c r="D70" s="147">
        <f>D27*C70</f>
        <v>19.594440000000002</v>
      </c>
    </row>
    <row r="71" spans="1:4" x14ac:dyDescent="0.2">
      <c r="A71" s="63" t="s">
        <v>42</v>
      </c>
      <c r="B71" s="63" t="s">
        <v>90</v>
      </c>
      <c r="C71" s="143">
        <v>3.04E-2</v>
      </c>
      <c r="D71" s="144">
        <f>(D27+D34)*C71</f>
        <v>122.564818784</v>
      </c>
    </row>
    <row r="72" spans="1:4" x14ac:dyDescent="0.2">
      <c r="A72" s="293" t="s">
        <v>58</v>
      </c>
      <c r="B72" s="293"/>
      <c r="C72" s="293"/>
      <c r="D72" s="121">
        <f>SUM(D66:D71)</f>
        <v>231.71949311999998</v>
      </c>
    </row>
    <row r="73" spans="1:4" x14ac:dyDescent="0.2">
      <c r="A73" s="148"/>
      <c r="B73" s="148"/>
      <c r="C73" s="148"/>
      <c r="D73" s="149"/>
    </row>
    <row r="74" spans="1:4" x14ac:dyDescent="0.2">
      <c r="A74" s="330" t="s">
        <v>132</v>
      </c>
      <c r="B74" s="331"/>
      <c r="C74" s="331"/>
      <c r="D74" s="332"/>
    </row>
    <row r="75" spans="1:4" x14ac:dyDescent="0.2">
      <c r="A75" s="111" t="s">
        <v>33</v>
      </c>
      <c r="B75" s="111" t="s">
        <v>133</v>
      </c>
      <c r="C75" s="122"/>
      <c r="D75" s="121">
        <f>D27</f>
        <v>3628.6</v>
      </c>
    </row>
    <row r="76" spans="1:4" x14ac:dyDescent="0.2">
      <c r="A76" s="111" t="s">
        <v>35</v>
      </c>
      <c r="B76" s="111" t="s">
        <v>117</v>
      </c>
      <c r="C76" s="122"/>
      <c r="D76" s="121">
        <f>D62</f>
        <v>2364.72484528</v>
      </c>
    </row>
    <row r="77" spans="1:4" x14ac:dyDescent="0.2">
      <c r="A77" s="63" t="s">
        <v>38</v>
      </c>
      <c r="B77" s="63" t="s">
        <v>134</v>
      </c>
      <c r="C77" s="150">
        <f>D75/12</f>
        <v>302.38333333333333</v>
      </c>
      <c r="D77" s="150">
        <f>C77*C48+C77</f>
        <v>413.66039999999998</v>
      </c>
    </row>
    <row r="78" spans="1:4" x14ac:dyDescent="0.2">
      <c r="A78" s="111" t="s">
        <v>57</v>
      </c>
      <c r="B78" s="111" t="s">
        <v>118</v>
      </c>
      <c r="C78" s="122"/>
      <c r="D78" s="121">
        <f>D72</f>
        <v>231.71949311999998</v>
      </c>
    </row>
    <row r="79" spans="1:4" x14ac:dyDescent="0.2">
      <c r="A79" s="111" t="s">
        <v>41</v>
      </c>
      <c r="B79" s="111" t="s">
        <v>135</v>
      </c>
      <c r="C79" s="122"/>
      <c r="D79" s="168">
        <f>-(D52+D53)</f>
        <v>-428.678</v>
      </c>
    </row>
    <row r="80" spans="1:4" x14ac:dyDescent="0.2">
      <c r="A80" s="293" t="s">
        <v>136</v>
      </c>
      <c r="B80" s="293"/>
      <c r="C80" s="293"/>
      <c r="D80" s="121">
        <f>SUM(D75:D79)</f>
        <v>6210.0267383999999</v>
      </c>
    </row>
    <row r="81" spans="1:4" ht="13.5" thickBot="1" x14ac:dyDescent="0.25">
      <c r="A81" s="148"/>
      <c r="B81" s="148"/>
      <c r="C81" s="148"/>
      <c r="D81" s="148"/>
    </row>
    <row r="82" spans="1:4" ht="13.5" thickBot="1" x14ac:dyDescent="0.25">
      <c r="A82" s="333" t="s">
        <v>91</v>
      </c>
      <c r="B82" s="334"/>
      <c r="C82" s="334"/>
      <c r="D82" s="335"/>
    </row>
    <row r="83" spans="1:4" ht="15" customHeight="1" x14ac:dyDescent="0.2">
      <c r="A83" s="336" t="s">
        <v>92</v>
      </c>
      <c r="B83" s="337"/>
      <c r="C83" s="337"/>
      <c r="D83" s="338"/>
    </row>
    <row r="84" spans="1:4" x14ac:dyDescent="0.2">
      <c r="A84" s="114" t="s">
        <v>93</v>
      </c>
      <c r="B84" s="114" t="s">
        <v>94</v>
      </c>
      <c r="C84" s="114" t="s">
        <v>84</v>
      </c>
      <c r="D84" s="114" t="s">
        <v>56</v>
      </c>
    </row>
    <row r="85" spans="1:4" x14ac:dyDescent="0.2">
      <c r="A85" s="111" t="s">
        <v>33</v>
      </c>
      <c r="B85" s="110" t="s">
        <v>95</v>
      </c>
      <c r="C85" s="123">
        <v>8.3299999999999999E-2</v>
      </c>
      <c r="D85" s="119">
        <f>D80*C85</f>
        <v>517.29522730871997</v>
      </c>
    </row>
    <row r="86" spans="1:4" x14ac:dyDescent="0.2">
      <c r="A86" s="111" t="s">
        <v>35</v>
      </c>
      <c r="B86" s="110" t="s">
        <v>138</v>
      </c>
      <c r="C86" s="151">
        <v>2.2200000000000002E-3</v>
      </c>
      <c r="D86" s="119">
        <f>D80*C86</f>
        <v>13.786259359248001</v>
      </c>
    </row>
    <row r="87" spans="1:4" x14ac:dyDescent="0.2">
      <c r="A87" s="111" t="s">
        <v>38</v>
      </c>
      <c r="B87" s="110" t="s">
        <v>96</v>
      </c>
      <c r="C87" s="151">
        <v>2.0000000000000001E-4</v>
      </c>
      <c r="D87" s="119">
        <f>D80*C87</f>
        <v>1.2420053476799999</v>
      </c>
    </row>
    <row r="88" spans="1:4" x14ac:dyDescent="0.2">
      <c r="A88" s="111" t="s">
        <v>57</v>
      </c>
      <c r="B88" s="110" t="s">
        <v>97</v>
      </c>
      <c r="C88" s="151">
        <v>2.7999999999999998E-4</v>
      </c>
      <c r="D88" s="119">
        <f>D80*C88</f>
        <v>1.7388074867519998</v>
      </c>
    </row>
    <row r="89" spans="1:4" x14ac:dyDescent="0.2">
      <c r="A89" s="111"/>
      <c r="B89" s="110" t="s">
        <v>139</v>
      </c>
      <c r="C89" s="151">
        <v>3.5999999999999999E-3</v>
      </c>
      <c r="D89" s="119">
        <f>D80*C89</f>
        <v>22.356096258239997</v>
      </c>
    </row>
    <row r="90" spans="1:4" x14ac:dyDescent="0.2">
      <c r="A90" s="111" t="s">
        <v>41</v>
      </c>
      <c r="B90" s="110" t="s">
        <v>98</v>
      </c>
      <c r="C90" s="151">
        <v>3.8999999999999999E-4</v>
      </c>
      <c r="D90" s="119">
        <f>D80*C90</f>
        <v>2.421910427976</v>
      </c>
    </row>
    <row r="91" spans="1:4" x14ac:dyDescent="0.2">
      <c r="A91" s="111" t="s">
        <v>42</v>
      </c>
      <c r="B91" s="110" t="s">
        <v>126</v>
      </c>
      <c r="C91" s="146"/>
      <c r="D91" s="119">
        <f>(($D$27+$D$62+$D$72)-$D$52)*C91</f>
        <v>0</v>
      </c>
    </row>
    <row r="92" spans="1:4" x14ac:dyDescent="0.2">
      <c r="A92" s="122" t="s">
        <v>58</v>
      </c>
      <c r="B92" s="122"/>
      <c r="C92" s="122"/>
      <c r="D92" s="121">
        <f>SUM(D85:D91)</f>
        <v>558.84030618861584</v>
      </c>
    </row>
    <row r="93" spans="1:4" ht="15" customHeight="1" x14ac:dyDescent="0.2">
      <c r="A93" s="290" t="s">
        <v>99</v>
      </c>
      <c r="B93" s="291"/>
      <c r="C93" s="291"/>
      <c r="D93" s="292"/>
    </row>
    <row r="94" spans="1:4" x14ac:dyDescent="0.2">
      <c r="A94" s="122" t="s">
        <v>100</v>
      </c>
      <c r="B94" s="111" t="s">
        <v>101</v>
      </c>
      <c r="C94" s="111"/>
      <c r="D94" s="114" t="s">
        <v>56</v>
      </c>
    </row>
    <row r="95" spans="1:4" x14ac:dyDescent="0.2">
      <c r="A95" s="111" t="s">
        <v>33</v>
      </c>
      <c r="B95" s="111" t="s">
        <v>102</v>
      </c>
      <c r="C95" s="111"/>
      <c r="D95" s="119">
        <v>0</v>
      </c>
    </row>
    <row r="96" spans="1:4" x14ac:dyDescent="0.2">
      <c r="A96" s="122" t="s">
        <v>58</v>
      </c>
      <c r="B96" s="122"/>
      <c r="C96" s="122"/>
      <c r="D96" s="121"/>
    </row>
    <row r="97" spans="1:4" x14ac:dyDescent="0.2">
      <c r="A97" s="125"/>
      <c r="B97" s="125"/>
      <c r="C97" s="125"/>
      <c r="D97" s="125"/>
    </row>
    <row r="98" spans="1:4" ht="15" customHeight="1" x14ac:dyDescent="0.2">
      <c r="A98" s="287" t="s">
        <v>103</v>
      </c>
      <c r="B98" s="288"/>
      <c r="C98" s="288"/>
      <c r="D98" s="289"/>
    </row>
    <row r="99" spans="1:4" x14ac:dyDescent="0.2">
      <c r="A99" s="114">
        <v>4</v>
      </c>
      <c r="B99" s="152" t="s">
        <v>104</v>
      </c>
      <c r="C99" s="153"/>
      <c r="D99" s="114" t="s">
        <v>56</v>
      </c>
    </row>
    <row r="100" spans="1:4" x14ac:dyDescent="0.2">
      <c r="A100" s="110" t="s">
        <v>93</v>
      </c>
      <c r="B100" s="154" t="s">
        <v>94</v>
      </c>
      <c r="C100" s="155"/>
      <c r="D100" s="156">
        <f>D92</f>
        <v>558.84030618861584</v>
      </c>
    </row>
    <row r="101" spans="1:4" x14ac:dyDescent="0.2">
      <c r="A101" s="110" t="s">
        <v>100</v>
      </c>
      <c r="B101" s="154" t="s">
        <v>101</v>
      </c>
      <c r="C101" s="155"/>
      <c r="D101" s="119">
        <f>D96</f>
        <v>0</v>
      </c>
    </row>
    <row r="102" spans="1:4" x14ac:dyDescent="0.2">
      <c r="A102" s="157" t="s">
        <v>58</v>
      </c>
      <c r="B102" s="158"/>
      <c r="C102" s="159"/>
      <c r="D102" s="121">
        <f>SUM(D100:D101)</f>
        <v>558.84030618861584</v>
      </c>
    </row>
    <row r="103" spans="1:4" x14ac:dyDescent="0.2">
      <c r="A103" s="62" t="s">
        <v>54</v>
      </c>
      <c r="B103" s="62"/>
      <c r="C103" s="62"/>
      <c r="D103" s="62"/>
    </row>
    <row r="104" spans="1:4" ht="15" customHeight="1" x14ac:dyDescent="0.2">
      <c r="A104" s="287" t="s">
        <v>105</v>
      </c>
      <c r="B104" s="288"/>
      <c r="C104" s="288"/>
      <c r="D104" s="289"/>
    </row>
    <row r="105" spans="1:4" x14ac:dyDescent="0.2">
      <c r="A105" s="114">
        <v>5</v>
      </c>
      <c r="B105" s="114" t="s">
        <v>106</v>
      </c>
      <c r="C105" s="114"/>
      <c r="D105" s="114" t="s">
        <v>56</v>
      </c>
    </row>
    <row r="106" spans="1:4" x14ac:dyDescent="0.2">
      <c r="A106" s="132" t="s">
        <v>33</v>
      </c>
      <c r="B106" s="160" t="s">
        <v>141</v>
      </c>
      <c r="C106" s="160"/>
      <c r="D106" s="136">
        <v>137.56</v>
      </c>
    </row>
    <row r="107" spans="1:4" x14ac:dyDescent="0.2">
      <c r="A107" s="110" t="s">
        <v>35</v>
      </c>
      <c r="B107" s="110" t="s">
        <v>164</v>
      </c>
      <c r="C107" s="114"/>
      <c r="D107" s="116"/>
    </row>
    <row r="108" spans="1:4" x14ac:dyDescent="0.2">
      <c r="A108" s="114" t="s">
        <v>58</v>
      </c>
      <c r="B108" s="114"/>
      <c r="C108" s="114"/>
      <c r="D108" s="117">
        <f>D106+D107</f>
        <v>137.56</v>
      </c>
    </row>
    <row r="109" spans="1:4" x14ac:dyDescent="0.2">
      <c r="A109" s="339"/>
      <c r="B109" s="339"/>
      <c r="C109" s="339"/>
      <c r="D109" s="339"/>
    </row>
    <row r="110" spans="1:4" ht="15" customHeight="1" x14ac:dyDescent="0.2">
      <c r="A110" s="287" t="s">
        <v>107</v>
      </c>
      <c r="B110" s="288"/>
      <c r="C110" s="288"/>
      <c r="D110" s="289"/>
    </row>
    <row r="111" spans="1:4" x14ac:dyDescent="0.2">
      <c r="A111" s="114">
        <v>6</v>
      </c>
      <c r="B111" s="114" t="s">
        <v>108</v>
      </c>
      <c r="C111" s="114" t="s">
        <v>68</v>
      </c>
      <c r="D111" s="114" t="s">
        <v>56</v>
      </c>
    </row>
    <row r="112" spans="1:4" x14ac:dyDescent="0.2">
      <c r="A112" s="110" t="s">
        <v>33</v>
      </c>
      <c r="B112" s="160" t="s">
        <v>109</v>
      </c>
      <c r="C112" s="161">
        <v>0.05</v>
      </c>
      <c r="D112" s="116">
        <f>C112*D128</f>
        <v>346.07223222943082</v>
      </c>
    </row>
    <row r="113" spans="1:4" x14ac:dyDescent="0.2">
      <c r="A113" s="110" t="s">
        <v>35</v>
      </c>
      <c r="B113" s="160" t="s">
        <v>110</v>
      </c>
      <c r="C113" s="161">
        <v>0.1</v>
      </c>
      <c r="D113" s="116">
        <f>C113*(D112+D128)</f>
        <v>726.7516876818047</v>
      </c>
    </row>
    <row r="114" spans="1:4" x14ac:dyDescent="0.2">
      <c r="A114" s="110" t="s">
        <v>38</v>
      </c>
      <c r="B114" s="160" t="s">
        <v>111</v>
      </c>
      <c r="C114" s="162">
        <f>SUM(C115:C117)</f>
        <v>5.6499999999999995E-2</v>
      </c>
      <c r="D114" s="116">
        <f>(D27+D62+D72+D102+D107+D112+D113)*(C115+C116+C117)/(1-(C115+C116+C117))</f>
        <v>470.48652241043089</v>
      </c>
    </row>
    <row r="115" spans="1:4" x14ac:dyDescent="0.2">
      <c r="A115" s="110"/>
      <c r="B115" s="132" t="s">
        <v>112</v>
      </c>
      <c r="C115" s="162">
        <v>6.4999999999999997E-3</v>
      </c>
      <c r="D115" s="116">
        <f>C115*D130</f>
        <v>55.020908064916824</v>
      </c>
    </row>
    <row r="116" spans="1:4" x14ac:dyDescent="0.2">
      <c r="A116" s="110"/>
      <c r="B116" s="132" t="s">
        <v>113</v>
      </c>
      <c r="C116" s="162">
        <v>0.03</v>
      </c>
      <c r="D116" s="116">
        <f>C116*D130</f>
        <v>253.94265260730845</v>
      </c>
    </row>
    <row r="117" spans="1:4" x14ac:dyDescent="0.2">
      <c r="A117" s="110"/>
      <c r="B117" s="110" t="s">
        <v>114</v>
      </c>
      <c r="C117" s="163">
        <v>0.02</v>
      </c>
      <c r="D117" s="116">
        <f>C117*D130</f>
        <v>169.29510173820563</v>
      </c>
    </row>
    <row r="118" spans="1:4" x14ac:dyDescent="0.2">
      <c r="A118" s="114" t="s">
        <v>58</v>
      </c>
      <c r="B118" s="114"/>
      <c r="C118" s="114"/>
      <c r="D118" s="117">
        <f>SUM(D112:D114)</f>
        <v>1543.3104423216664</v>
      </c>
    </row>
    <row r="119" spans="1:4" x14ac:dyDescent="0.2">
      <c r="A119" s="62"/>
      <c r="B119" s="62"/>
      <c r="C119" s="62"/>
      <c r="D119" s="62"/>
    </row>
    <row r="120" spans="1:4" ht="15" customHeight="1" x14ac:dyDescent="0.2">
      <c r="A120" s="321" t="s">
        <v>115</v>
      </c>
      <c r="B120" s="322"/>
      <c r="C120" s="322"/>
      <c r="D120" s="323"/>
    </row>
    <row r="121" spans="1:4" x14ac:dyDescent="0.2">
      <c r="A121" s="62" t="s">
        <v>54</v>
      </c>
      <c r="B121" s="62"/>
      <c r="C121" s="62"/>
      <c r="D121" s="62"/>
    </row>
    <row r="122" spans="1:4" x14ac:dyDescent="0.2">
      <c r="A122" s="110"/>
      <c r="B122" s="114" t="s">
        <v>116</v>
      </c>
      <c r="C122" s="114"/>
      <c r="D122" s="114" t="s">
        <v>56</v>
      </c>
    </row>
    <row r="123" spans="1:4" x14ac:dyDescent="0.2">
      <c r="A123" s="110" t="s">
        <v>33</v>
      </c>
      <c r="B123" s="285" t="s">
        <v>53</v>
      </c>
      <c r="C123" s="286"/>
      <c r="D123" s="116">
        <f>D27</f>
        <v>3628.6</v>
      </c>
    </row>
    <row r="124" spans="1:4" x14ac:dyDescent="0.2">
      <c r="A124" s="110" t="s">
        <v>35</v>
      </c>
      <c r="B124" s="285" t="s">
        <v>117</v>
      </c>
      <c r="C124" s="286"/>
      <c r="D124" s="116">
        <f>D62</f>
        <v>2364.72484528</v>
      </c>
    </row>
    <row r="125" spans="1:4" x14ac:dyDescent="0.2">
      <c r="A125" s="110" t="s">
        <v>38</v>
      </c>
      <c r="B125" s="285" t="s">
        <v>118</v>
      </c>
      <c r="C125" s="286"/>
      <c r="D125" s="116">
        <f>D72</f>
        <v>231.71949311999998</v>
      </c>
    </row>
    <row r="126" spans="1:4" x14ac:dyDescent="0.2">
      <c r="A126" s="110" t="s">
        <v>57</v>
      </c>
      <c r="B126" s="285" t="s">
        <v>119</v>
      </c>
      <c r="C126" s="286"/>
      <c r="D126" s="116">
        <f>D102</f>
        <v>558.84030618861584</v>
      </c>
    </row>
    <row r="127" spans="1:4" x14ac:dyDescent="0.2">
      <c r="A127" s="110" t="s">
        <v>41</v>
      </c>
      <c r="B127" s="285" t="s">
        <v>120</v>
      </c>
      <c r="C127" s="286"/>
      <c r="D127" s="116">
        <f>D108</f>
        <v>137.56</v>
      </c>
    </row>
    <row r="128" spans="1:4" ht="15" customHeight="1" x14ac:dyDescent="0.2">
      <c r="A128" s="281" t="s">
        <v>121</v>
      </c>
      <c r="B128" s="282"/>
      <c r="C128" s="283"/>
      <c r="D128" s="117">
        <f>SUM(D123:D127)</f>
        <v>6921.444644588616</v>
      </c>
    </row>
    <row r="129" spans="1:4" x14ac:dyDescent="0.2">
      <c r="A129" s="110" t="s">
        <v>42</v>
      </c>
      <c r="B129" s="285" t="s">
        <v>122</v>
      </c>
      <c r="C129" s="286"/>
      <c r="D129" s="116">
        <f>D118</f>
        <v>1543.3104423216664</v>
      </c>
    </row>
    <row r="130" spans="1:4" x14ac:dyDescent="0.2">
      <c r="A130" s="298" t="s">
        <v>123</v>
      </c>
      <c r="B130" s="299"/>
      <c r="C130" s="300"/>
      <c r="D130" s="121">
        <f>SUM(D128+D129)</f>
        <v>8464.7550869102815</v>
      </c>
    </row>
    <row r="131" spans="1:4" x14ac:dyDescent="0.2">
      <c r="A131" s="148"/>
      <c r="B131" s="148"/>
      <c r="C131" s="148"/>
      <c r="D131" s="149"/>
    </row>
    <row r="132" spans="1:4" x14ac:dyDescent="0.2">
      <c r="A132" s="148"/>
      <c r="B132" s="148"/>
      <c r="C132" s="122" t="s">
        <v>129</v>
      </c>
      <c r="D132" s="122">
        <v>2</v>
      </c>
    </row>
    <row r="133" spans="1:4" x14ac:dyDescent="0.2">
      <c r="A133" s="62"/>
      <c r="B133" s="62"/>
      <c r="C133" s="111" t="s">
        <v>124</v>
      </c>
      <c r="D133" s="164">
        <f>D132*D130</f>
        <v>16929.510173820563</v>
      </c>
    </row>
    <row r="134" spans="1:4" x14ac:dyDescent="0.2">
      <c r="A134" s="62"/>
      <c r="B134" s="62"/>
      <c r="C134" s="122" t="s">
        <v>128</v>
      </c>
      <c r="D134" s="165">
        <v>12</v>
      </c>
    </row>
    <row r="135" spans="1:4" x14ac:dyDescent="0.2">
      <c r="A135" s="62"/>
      <c r="B135" s="62"/>
      <c r="C135" s="111" t="s">
        <v>125</v>
      </c>
      <c r="D135" s="166">
        <f>D134*D133</f>
        <v>203154.12208584676</v>
      </c>
    </row>
  </sheetData>
  <mergeCells count="60">
    <mergeCell ref="B7:C7"/>
    <mergeCell ref="A1:D1"/>
    <mergeCell ref="A2:D2"/>
    <mergeCell ref="A3:D3"/>
    <mergeCell ref="A4:C4"/>
    <mergeCell ref="A6:D6"/>
    <mergeCell ref="A15:D15"/>
    <mergeCell ref="B17:C17"/>
    <mergeCell ref="B18:C18"/>
    <mergeCell ref="B8:C8"/>
    <mergeCell ref="B9:C9"/>
    <mergeCell ref="A11:D11"/>
    <mergeCell ref="A13:C13"/>
    <mergeCell ref="B10:C10"/>
    <mergeCell ref="A12:D12"/>
    <mergeCell ref="A14:C14"/>
    <mergeCell ref="A16:D16"/>
    <mergeCell ref="A29:D29"/>
    <mergeCell ref="B22:C22"/>
    <mergeCell ref="A27:C27"/>
    <mergeCell ref="A30:D30"/>
    <mergeCell ref="B31:C31"/>
    <mergeCell ref="A34:B34"/>
    <mergeCell ref="A37:D37"/>
    <mergeCell ref="A49:D49"/>
    <mergeCell ref="A35:B35"/>
    <mergeCell ref="A36:C36"/>
    <mergeCell ref="A38:D38"/>
    <mergeCell ref="B19:C19"/>
    <mergeCell ref="A21:D21"/>
    <mergeCell ref="B126:C126"/>
    <mergeCell ref="B127:C127"/>
    <mergeCell ref="A128:C128"/>
    <mergeCell ref="A72:C72"/>
    <mergeCell ref="A74:D74"/>
    <mergeCell ref="B61:C61"/>
    <mergeCell ref="A50:D50"/>
    <mergeCell ref="B51:C51"/>
    <mergeCell ref="A55:C55"/>
    <mergeCell ref="A104:D104"/>
    <mergeCell ref="A57:D57"/>
    <mergeCell ref="B58:C58"/>
    <mergeCell ref="B59:C59"/>
    <mergeCell ref="A56:D56"/>
    <mergeCell ref="B60:C60"/>
    <mergeCell ref="A62:C62"/>
    <mergeCell ref="A64:D64"/>
    <mergeCell ref="A80:C80"/>
    <mergeCell ref="A82:D82"/>
    <mergeCell ref="A83:D83"/>
    <mergeCell ref="A93:D93"/>
    <mergeCell ref="A98:D98"/>
    <mergeCell ref="A130:C130"/>
    <mergeCell ref="A109:D109"/>
    <mergeCell ref="A110:D110"/>
    <mergeCell ref="A120:D120"/>
    <mergeCell ref="B123:C123"/>
    <mergeCell ref="B124:C124"/>
    <mergeCell ref="B125:C125"/>
    <mergeCell ref="B129:C129"/>
  </mergeCells>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RESUMO</vt:lpstr>
      <vt:lpstr>PEDIATRA</vt:lpstr>
      <vt:lpstr>CLÍNICO GERAL</vt:lpstr>
      <vt:lpstr>ENFERMEIRO RT</vt:lpstr>
      <vt:lpstr>ENFERMEIRO DIURNO</vt:lpstr>
      <vt:lpstr>ENFERMEIRO NOTURNO</vt:lpstr>
      <vt:lpstr>ASSISTENTE SOCIAL</vt:lpstr>
      <vt:lpstr>FARMACÊUTICO</vt:lpstr>
      <vt:lpstr>TÉCNICO ENFERMAGEM CME</vt:lpstr>
      <vt:lpstr>TÉCNICO ENFERMAGEM DIURNO</vt:lpstr>
      <vt:lpstr>TÉCNICO ENFERMAGEM NOTURNO</vt:lpstr>
      <vt:lpstr>TÉCNICO RADIOLOGIA</vt:lpstr>
      <vt:lpstr>TÉCNICO RADIOLOGIA NOTURNO</vt:lpstr>
      <vt:lpstr>TÉCNICO SEGURANÇA DO TRABALHO</vt:lpstr>
      <vt:lpstr>ADMINISTRATIVO</vt:lpstr>
      <vt:lpstr>RECEPCIONISTA</vt:lpstr>
      <vt:lpstr>RECEPCIONISTA NOTURNO</vt:lpstr>
      <vt:lpstr>VIGIA</vt:lpstr>
      <vt:lpstr>VIGIA NOTURNO</vt:lpstr>
      <vt:lpstr>SERVIÇOS GERAIS</vt:lpstr>
      <vt:lpstr>SERVIÇOS GERAIS NOTURNO</vt:lpstr>
      <vt:lpstr>UNIFORMES - EPI - SERVENTE</vt:lpstr>
      <vt:lpstr>Planilha1</vt:lpstr>
      <vt:lpstr>UNIFORME - EPI - ADM</vt:lpstr>
      <vt:lpstr>UNIFORME - EPI - ENF.</vt:lpstr>
      <vt:lpstr>UNIFORME - EPI - VIGIA</vt:lpstr>
      <vt:lpstr>UNIFORME - EPI - ASSISTENTE SOC</vt:lpstr>
      <vt:lpstr>UNIFORME - SERVIÇOS GERAIS</vt:lpstr>
      <vt:lpstr>MÉDIAS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Iranete Fabiane Da Cunha Rosa</dc:creator>
  <cp:lastModifiedBy>Daniel Henrique Cabette da Silva</cp:lastModifiedBy>
  <cp:lastPrinted>2025-08-04T14:00:02Z</cp:lastPrinted>
  <dcterms:created xsi:type="dcterms:W3CDTF">2015-06-22T18:58:17Z</dcterms:created>
  <dcterms:modified xsi:type="dcterms:W3CDTF">2025-08-13T14:54:15Z</dcterms:modified>
</cp:coreProperties>
</file>