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comments3.xml" ContentType="application/vnd.openxmlformats-officedocument.spreadsheetml.comment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omments4.xml" ContentType="application/vnd.openxmlformats-officedocument.spreadsheetml.comments+xml"/>
  <Override PartName="/xl/drawings/drawing4.xml" ContentType="application/vnd.openxmlformats-officedocument.drawing+xml"/>
  <Override PartName="/xl/comments5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928"/>
  <workbookPr/>
  <mc:AlternateContent xmlns:mc="http://schemas.openxmlformats.org/markup-compatibility/2006">
    <mc:Choice Requires="x15">
      <x15ac:absPath xmlns:x15ac="http://schemas.microsoft.com/office/spreadsheetml/2010/11/ac" url="P:\Prefeitura_Municipal_Bal-Camboriu\Interpraias_Restauracao\Projeto_Basico\Volume_3_Orcamento\Memoria_Calculo\"/>
    </mc:Choice>
  </mc:AlternateContent>
  <xr:revisionPtr revIDLastSave="0" documentId="13_ncr:1_{2BD49BC0-52A9-4A17-B306-B8165BB44F25}" xr6:coauthVersionLast="47" xr6:coauthVersionMax="47" xr10:uidLastSave="{00000000-0000-0000-0000-000000000000}"/>
  <bookViews>
    <workbookView xWindow="28680" yWindow="-120" windowWidth="29040" windowHeight="15840" tabRatio="910" activeTab="9" xr2:uid="{00000000-000D-0000-FFFF-FFFF00000000}"/>
  </bookViews>
  <sheets>
    <sheet name="CLASSIFICAÇÃO" sheetId="12" r:id="rId1"/>
    <sheet name="TABELAS DE REFERÊNCIA" sheetId="21" r:id="rId2"/>
    <sheet name="QUANT" sheetId="29" r:id="rId3"/>
    <sheet name="MO" sheetId="27" r:id="rId4"/>
    <sheet name="MAODEOBRA" sheetId="31" r:id="rId5"/>
    <sheet name="RESUMO" sheetId="11" r:id="rId6"/>
    <sheet name="FIXA - construção" sheetId="5" r:id="rId7"/>
    <sheet name="VINCULADA - construção" sheetId="8" r:id="rId8"/>
    <sheet name="VARIÁVEL - FRENTES DE SERVIÇOS" sheetId="9" r:id="rId9"/>
    <sheet name="VARIÁVEL - CONTROLE TECNOLÓGICO" sheetId="26" r:id="rId10"/>
    <sheet name="MANUTENÇÃO" sheetId="22" r:id="rId11"/>
  </sheets>
  <externalReferences>
    <externalReference r:id="rId12"/>
    <externalReference r:id="rId13"/>
  </externalReferences>
  <definedNames>
    <definedName name="____________OUT98" localSheetId="4" hidden="1">{#N/A,#N/A,TRUE,"Serviços"}</definedName>
    <definedName name="____________OUT98" localSheetId="9" hidden="1">{#N/A,#N/A,TRUE,"Serviços"}</definedName>
    <definedName name="____________OUT98" hidden="1">{#N/A,#N/A,TRUE,"Serviços"}</definedName>
    <definedName name="__________OUT98" localSheetId="4" hidden="1">{#N/A,#N/A,TRUE,"Serviços"}</definedName>
    <definedName name="__________OUT98" localSheetId="9" hidden="1">{#N/A,#N/A,TRUE,"Serviços"}</definedName>
    <definedName name="__________OUT98" hidden="1">{#N/A,#N/A,TRUE,"Serviços"}</definedName>
    <definedName name="________OUT98" localSheetId="4" hidden="1">{#N/A,#N/A,TRUE,"Serviços"}</definedName>
    <definedName name="________OUT98" localSheetId="9" hidden="1">{#N/A,#N/A,TRUE,"Serviços"}</definedName>
    <definedName name="________OUT98" hidden="1">{#N/A,#N/A,TRUE,"Serviços"}</definedName>
    <definedName name="_______OUT98" localSheetId="4" hidden="1">{#N/A,#N/A,TRUE,"Serviços"}</definedName>
    <definedName name="_______OUT98" localSheetId="9" hidden="1">{#N/A,#N/A,TRUE,"Serviços"}</definedName>
    <definedName name="_______OUT98" hidden="1">{#N/A,#N/A,TRUE,"Serviços"}</definedName>
    <definedName name="______OUT98" localSheetId="4" hidden="1">{#N/A,#N/A,TRUE,"Serviços"}</definedName>
    <definedName name="______OUT98" localSheetId="9" hidden="1">{#N/A,#N/A,TRUE,"Serviços"}</definedName>
    <definedName name="______OUT98" hidden="1">{#N/A,#N/A,TRUE,"Serviços"}</definedName>
    <definedName name="_____OUT98" localSheetId="4" hidden="1">{#N/A,#N/A,TRUE,"Serviços"}</definedName>
    <definedName name="_____OUT98" localSheetId="9" hidden="1">{#N/A,#N/A,TRUE,"Serviços"}</definedName>
    <definedName name="_____OUT98" hidden="1">{#N/A,#N/A,TRUE,"Serviços"}</definedName>
    <definedName name="____OUT98" localSheetId="4" hidden="1">{#N/A,#N/A,TRUE,"Serviços"}</definedName>
    <definedName name="____OUT98" localSheetId="9" hidden="1">{#N/A,#N/A,TRUE,"Serviços"}</definedName>
    <definedName name="____OUT98" hidden="1">{#N/A,#N/A,TRUE,"Serviços"}</definedName>
    <definedName name="___OUT98" localSheetId="4" hidden="1">{#N/A,#N/A,TRUE,"Serviços"}</definedName>
    <definedName name="___OUT98" localSheetId="9" hidden="1">{#N/A,#N/A,TRUE,"Serviços"}</definedName>
    <definedName name="___OUT98" hidden="1">{#N/A,#N/A,TRUE,"Serviços"}</definedName>
    <definedName name="__OUT98" localSheetId="4" hidden="1">{#N/A,#N/A,TRUE,"Serviços"}</definedName>
    <definedName name="__OUT98" localSheetId="9" hidden="1">{#N/A,#N/A,TRUE,"Serviços"}</definedName>
    <definedName name="__OUT98" hidden="1">{#N/A,#N/A,TRUE,"Serviços"}</definedName>
    <definedName name="_xlnm._FilterDatabase" localSheetId="2" hidden="1">QUANT!$A$11:$D$55</definedName>
    <definedName name="_Order1" hidden="1">255</definedName>
    <definedName name="_OUT98" localSheetId="4" hidden="1">{#N/A,#N/A,TRUE,"Serviços"}</definedName>
    <definedName name="_OUT98" localSheetId="9" hidden="1">{#N/A,#N/A,TRUE,"Serviços"}</definedName>
    <definedName name="_OUT98" hidden="1">{#N/A,#N/A,TRUE,"Serviços"}</definedName>
    <definedName name="_OUT98_" localSheetId="4" hidden="1">{#N/A,#N/A,TRUE,"Serviços"}</definedName>
    <definedName name="_OUT98_" localSheetId="9" hidden="1">{#N/A,#N/A,TRUE,"Serviços"}</definedName>
    <definedName name="_OUT98_" hidden="1">{#N/A,#N/A,TRUE,"Serviços"}</definedName>
    <definedName name="A" hidden="1">#REF!</definedName>
    <definedName name="aaaa" hidden="1">#REF!</definedName>
    <definedName name="_xlnm.Print_Area" localSheetId="0">CLASSIFICAÇÃO!$A$1:$H$16</definedName>
    <definedName name="_xlnm.Print_Area" localSheetId="6">'FIXA - construção'!$A$1:$J$38</definedName>
    <definedName name="_xlnm.Print_Area" localSheetId="10">MANUTENÇÃO!$A$1:$G$35</definedName>
    <definedName name="_xlnm.Print_Area" localSheetId="4">MAODEOBRA!$A$1:$D$22</definedName>
    <definedName name="_xlnm.Print_Area" localSheetId="2">QUANT!$A$1:$E$55</definedName>
    <definedName name="_xlnm.Print_Area" localSheetId="5">RESUMO!$A$1:$F$24</definedName>
    <definedName name="_xlnm.Print_Area" localSheetId="1">'TABELAS DE REFERÊNCIA'!$A$1:$N$247</definedName>
    <definedName name="_xlnm.Print_Area" localSheetId="9">'VARIÁVEL - CONTROLE TECNOLÓGICO'!$A$1:$R$97</definedName>
    <definedName name="_xlnm.Print_Area" localSheetId="8">'VARIÁVEL - FRENTES DE SERVIÇOS'!$A$1:$H$54</definedName>
    <definedName name="_xlnm.Print_Area" localSheetId="7">'VINCULADA - construção'!$A$1:$J$42</definedName>
    <definedName name="Bloco" localSheetId="4" hidden="1">#REF!</definedName>
    <definedName name="Bloco" localSheetId="9" hidden="1">#REF!</definedName>
    <definedName name="Bloco" hidden="1">#REF!</definedName>
    <definedName name="Bloco2" localSheetId="4" hidden="1">#REF!</definedName>
    <definedName name="Bloco2" hidden="1">#REF!</definedName>
    <definedName name="CadIns" hidden="1">#REF!</definedName>
    <definedName name="CadSrv" hidden="1">#REF!</definedName>
    <definedName name="CAPA" localSheetId="4" hidden="1">{#N/A,#N/A,TRUE,"Serviços"}</definedName>
    <definedName name="CAPA" localSheetId="9" hidden="1">{#N/A,#N/A,TRUE,"Serviços"}</definedName>
    <definedName name="CAPA" hidden="1">{#N/A,#N/A,TRUE,"Serviços"}</definedName>
    <definedName name="capa1" localSheetId="4" hidden="1">{#N/A,#N/A,TRUE,"Serviços"}</definedName>
    <definedName name="capa1" localSheetId="9" hidden="1">{#N/A,#N/A,TRUE,"Serviços"}</definedName>
    <definedName name="capa1" hidden="1">{#N/A,#N/A,TRUE,"Serviços"}</definedName>
    <definedName name="capa2" localSheetId="4" hidden="1">{#N/A,#N/A,TRUE,"Serviços"}</definedName>
    <definedName name="capa2" localSheetId="9" hidden="1">{#N/A,#N/A,TRUE,"Serviços"}</definedName>
    <definedName name="capa2" hidden="1">{#N/A,#N/A,TRUE,"Serviços"}</definedName>
    <definedName name="cch" hidden="1">#N/A</definedName>
    <definedName name="CdQtEqA" hidden="1">2</definedName>
    <definedName name="CdQtEqP" hidden="1">2</definedName>
    <definedName name="CdQtMoA" hidden="1">2</definedName>
    <definedName name="CdQtMoP" hidden="1">2</definedName>
    <definedName name="CdQtMpA" hidden="1">5</definedName>
    <definedName name="CdQtMpP" hidden="1">5</definedName>
    <definedName name="CdQtTrA" hidden="1">2</definedName>
    <definedName name="CdQtTrP" hidden="1">2</definedName>
    <definedName name="Chave" hidden="1">#REF!</definedName>
    <definedName name="Chave1" hidden="1">#REF!</definedName>
    <definedName name="Clas" hidden="1">MAX(LEN(#REF!))</definedName>
    <definedName name="Cliente" hidden="1">""</definedName>
    <definedName name="Cls" hidden="1">#N/A</definedName>
    <definedName name="Cod" hidden="1">#REF!</definedName>
    <definedName name="Coluna" hidden="1">#REF!</definedName>
    <definedName name="Comp" hidden="1">#REF!</definedName>
    <definedName name="CpuAux" hidden="1">#REF!</definedName>
    <definedName name="CPUs" hidden="1">#REF!</definedName>
    <definedName name="CRIT" hidden="1">#REF!</definedName>
    <definedName name="_xlnm.Criteria" hidden="1">#REF!</definedName>
    <definedName name="CunEq" localSheetId="9" hidden="1">SUM(IF(#REF! =#REF!,(#REF!)*(#REF!="EQ")))</definedName>
    <definedName name="CunEq" hidden="1">SUM(IF(#REF! =#REF!,(#REF!)*(#REF!="EQ")))</definedName>
    <definedName name="CunMo" localSheetId="9" hidden="1">SUM(IF(#REF! =#REF!,(#REF!)*(#REF!="MO")))</definedName>
    <definedName name="CunMo" hidden="1">SUM(IF(#REF! =#REF!,(#REF!)*(#REF!="MO")))</definedName>
    <definedName name="CunMp" localSheetId="9" hidden="1">SUM(IF(#REF! =#REF!,(#REF!)*(#REF!="MP")))</definedName>
    <definedName name="CunMp" hidden="1">SUM(IF(#REF! =#REF!,(#REF!)*(#REF!="MP")))</definedName>
    <definedName name="D" hidden="1">#REF!</definedName>
    <definedName name="DAER1" localSheetId="4" hidden="1">{#N/A,#N/A,TRUE,"Serviços"}</definedName>
    <definedName name="DAER1" localSheetId="9" hidden="1">{#N/A,#N/A,TRUE,"Serviços"}</definedName>
    <definedName name="DAER1" hidden="1">{#N/A,#N/A,TRUE,"Serviços"}</definedName>
    <definedName name="DescAux" hidden="1">#N/A</definedName>
    <definedName name="EmpAux" hidden="1">""</definedName>
    <definedName name="EQ" hidden="1">#REF!</definedName>
    <definedName name="FATURAS2002" localSheetId="4" hidden="1">{#N/A,#N/A,TRUE,"Serviços"}</definedName>
    <definedName name="FATURAS2002" localSheetId="9" hidden="1">{#N/A,#N/A,TRUE,"Serviços"}</definedName>
    <definedName name="FATURAS2002" hidden="1">{#N/A,#N/A,TRUE,"Serviços"}</definedName>
    <definedName name="FOLHA01" localSheetId="4" hidden="1">{#N/A,#N/A,TRUE,"Serviços"}</definedName>
    <definedName name="FOLHA01" localSheetId="9" hidden="1">{#N/A,#N/A,TRUE,"Serviços"}</definedName>
    <definedName name="FOLHA01" hidden="1">{#N/A,#N/A,TRUE,"Serviços"}</definedName>
    <definedName name="folha1" localSheetId="4" hidden="1">{#N/A,#N/A,TRUE,"Serviços"}</definedName>
    <definedName name="folha1" localSheetId="9" hidden="1">{#N/A,#N/A,TRUE,"Serviços"}</definedName>
    <definedName name="folha1" hidden="1">{#N/A,#N/A,TRUE,"Serviços"}</definedName>
    <definedName name="gtryfj" localSheetId="4" hidden="1">{#N/A,#N/A,TRUE,"Serviços"}</definedName>
    <definedName name="gtryfj" localSheetId="9" hidden="1">{#N/A,#N/A,TRUE,"Serviços"}</definedName>
    <definedName name="gtryfj" hidden="1">{#N/A,#N/A,TRUE,"Serviços"}</definedName>
    <definedName name="Insumos" hidden="1">#REF!</definedName>
    <definedName name="Itens" hidden="1">#REF!</definedName>
    <definedName name="JANEIRO2003" localSheetId="4" hidden="1">{#N/A,#N/A,TRUE,"Serviços"}</definedName>
    <definedName name="JANEIRO2003" localSheetId="9" hidden="1">{#N/A,#N/A,TRUE,"Serviços"}</definedName>
    <definedName name="JANEIRO2003" hidden="1">{#N/A,#N/A,TRUE,"Serviços"}</definedName>
    <definedName name="Local" hidden="1">""</definedName>
    <definedName name="Max" hidden="1">COUNTIF(#REF!,"&lt;&gt;0")+3</definedName>
    <definedName name="MO" hidden="1">#REF!</definedName>
    <definedName name="Modelo" hidden="1">#REF!</definedName>
    <definedName name="MP" hidden="1">#REF!</definedName>
    <definedName name="NATUREZA" localSheetId="4">[1]CLASSIFICAÇÃO!$A$2:$E$17</definedName>
    <definedName name="NATUREZA" localSheetId="9">[2]CLASSIFICAÇÃO!$A$2:$E$17</definedName>
    <definedName name="NATUREZA">CLASSIFICAÇÃO!$A$2:$E$17</definedName>
    <definedName name="NLEq" hidden="1">4</definedName>
    <definedName name="NLMo" hidden="1">6</definedName>
    <definedName name="NLMp" hidden="1">5</definedName>
    <definedName name="NLTr" hidden="1">3</definedName>
    <definedName name="Obra" hidden="1">""</definedName>
    <definedName name="OnOff" hidden="1">"ON"</definedName>
    <definedName name="orçamrest" localSheetId="4" hidden="1">{#N/A,#N/A,TRUE,"Serviços"}</definedName>
    <definedName name="orçamrest" localSheetId="9" hidden="1">{#N/A,#N/A,TRUE,"Serviços"}</definedName>
    <definedName name="orçamrest" hidden="1">{#N/A,#N/A,TRUE,"Serviços"}</definedName>
    <definedName name="Ordem" hidden="1">#REF!</definedName>
    <definedName name="Origem" hidden="1">#REF!</definedName>
    <definedName name="Plan1" hidden="1">#REF!</definedName>
    <definedName name="Posição" hidden="1">#REF!</definedName>
    <definedName name="Prd" hidden="1">#N/A</definedName>
    <definedName name="PrdAux" hidden="1">#N/A</definedName>
    <definedName name="PROD_1" localSheetId="4" hidden="1">{#N/A,#N/A,TRUE,"Serviços"}</definedName>
    <definedName name="PROD_1" localSheetId="9" hidden="1">{#N/A,#N/A,TRUE,"Serviços"}</definedName>
    <definedName name="PROD_1" hidden="1">{#N/A,#N/A,TRUE,"Serviços"}</definedName>
    <definedName name="QD" hidden="1">#REF!</definedName>
    <definedName name="QTD" hidden="1">#REF!</definedName>
    <definedName name="QtEq" hidden="1">#REF!</definedName>
    <definedName name="QtMo" hidden="1">#REF!</definedName>
    <definedName name="QtMp" hidden="1">#REF!</definedName>
    <definedName name="QtTr" hidden="1">#REF!</definedName>
    <definedName name="REL" localSheetId="4" hidden="1">{#N/A,#N/A,TRUE,"Serviços"}</definedName>
    <definedName name="REL" localSheetId="9" hidden="1">{#N/A,#N/A,TRUE,"Serviços"}</definedName>
    <definedName name="REL" hidden="1">{#N/A,#N/A,TRUE,"Serviços"}</definedName>
    <definedName name="Relat" hidden="1">#REF!</definedName>
    <definedName name="rr" localSheetId="4" hidden="1">{#N/A,#N/A,TRUE,"Serviços"}</definedName>
    <definedName name="rr" localSheetId="9" hidden="1">{#N/A,#N/A,TRUE,"Serviços"}</definedName>
    <definedName name="rr" hidden="1">{#N/A,#N/A,TRUE,"Serviços"}</definedName>
    <definedName name="rrff" localSheetId="4" hidden="1">{#N/A,#N/A,TRUE,"Serviços"}</definedName>
    <definedName name="rrff" localSheetId="9" hidden="1">{#N/A,#N/A,TRUE,"Serviços"}</definedName>
    <definedName name="rrff" hidden="1">{#N/A,#N/A,TRUE,"Serviços"}</definedName>
    <definedName name="SE" hidden="1">#REF!</definedName>
    <definedName name="SETEMBRO" localSheetId="4" hidden="1">{#N/A,#N/A,TRUE,"Serviços"}</definedName>
    <definedName name="SETEMBRO" localSheetId="9" hidden="1">{#N/A,#N/A,TRUE,"Serviços"}</definedName>
    <definedName name="SETEMBRO" hidden="1">{#N/A,#N/A,TRUE,"Serviços"}</definedName>
    <definedName name="SRV" hidden="1">#REF!</definedName>
    <definedName name="SS" hidden="1">#REF!</definedName>
    <definedName name="TOT" hidden="1">#REF!</definedName>
    <definedName name="TYUIO" localSheetId="4" hidden="1">{#N/A,#N/A,TRUE,"Serviços"}</definedName>
    <definedName name="TYUIO" localSheetId="9" hidden="1">{#N/A,#N/A,TRUE,"Serviços"}</definedName>
    <definedName name="TYUIO" hidden="1">{#N/A,#N/A,TRUE,"Serviços"}</definedName>
    <definedName name="un" hidden="1">#N/A</definedName>
    <definedName name="UnidAux" hidden="1">#N/A</definedName>
    <definedName name="wrn.Tipo." localSheetId="4" hidden="1">{#N/A,#N/A,TRUE,"Serviços"}</definedName>
    <definedName name="wrn.Tipo." localSheetId="9" hidden="1">{#N/A,#N/A,TRUE,"Serviços"}</definedName>
    <definedName name="wrn.Tipo." hidden="1">{#N/A,#N/A,TRUE,"Serviços"}</definedName>
  </definedNames>
  <calcPr calcId="191029"/>
</workbook>
</file>

<file path=xl/calcChain.xml><?xml version="1.0" encoding="utf-8"?>
<calcChain xmlns="http://schemas.openxmlformats.org/spreadsheetml/2006/main">
  <c r="O21" i="26" l="1"/>
  <c r="F20" i="9"/>
  <c r="H20" i="9" s="1"/>
  <c r="E20" i="9"/>
  <c r="D20" i="9"/>
  <c r="N21" i="26" s="1"/>
  <c r="C20" i="9"/>
  <c r="M21" i="26" s="1"/>
  <c r="C13" i="9"/>
  <c r="D13" i="9"/>
  <c r="E13" i="9"/>
  <c r="F13" i="9"/>
  <c r="H20" i="29"/>
  <c r="H10" i="29"/>
  <c r="P21" i="26" l="1"/>
  <c r="J38" i="5"/>
  <c r="C41" i="9"/>
  <c r="D41" i="9"/>
  <c r="E41" i="9"/>
  <c r="F41" i="9"/>
  <c r="C42" i="9"/>
  <c r="D42" i="9"/>
  <c r="E42" i="9"/>
  <c r="F42" i="9"/>
  <c r="H42" i="9" s="1"/>
  <c r="C43" i="9"/>
  <c r="D43" i="9"/>
  <c r="E43" i="9"/>
  <c r="F43" i="9"/>
  <c r="H43" i="9" s="1"/>
  <c r="C44" i="9"/>
  <c r="D44" i="9"/>
  <c r="E44" i="9"/>
  <c r="F44" i="9"/>
  <c r="H44" i="9" s="1"/>
  <c r="C45" i="9"/>
  <c r="D45" i="9"/>
  <c r="E45" i="9"/>
  <c r="F45" i="9"/>
  <c r="H45" i="9" s="1"/>
  <c r="C46" i="9"/>
  <c r="D46" i="9"/>
  <c r="E46" i="9"/>
  <c r="F46" i="9"/>
  <c r="H46" i="9" s="1"/>
  <c r="C47" i="9"/>
  <c r="D47" i="9"/>
  <c r="E47" i="9"/>
  <c r="F47" i="9"/>
  <c r="H47" i="9" s="1"/>
  <c r="C48" i="9"/>
  <c r="D48" i="9"/>
  <c r="E48" i="9"/>
  <c r="F48" i="9"/>
  <c r="H48" i="9" s="1"/>
  <c r="C49" i="9"/>
  <c r="D49" i="9"/>
  <c r="E49" i="9"/>
  <c r="F49" i="9"/>
  <c r="H49" i="9" s="1"/>
  <c r="D40" i="9"/>
  <c r="E40" i="9"/>
  <c r="F40" i="9"/>
  <c r="C40" i="9"/>
  <c r="C34" i="9"/>
  <c r="D34" i="9"/>
  <c r="E34" i="9"/>
  <c r="F34" i="9"/>
  <c r="D33" i="9"/>
  <c r="E33" i="9"/>
  <c r="F33" i="9"/>
  <c r="C33" i="9"/>
  <c r="C27" i="9"/>
  <c r="D27" i="9"/>
  <c r="E27" i="9"/>
  <c r="F27" i="9"/>
  <c r="H27" i="9" s="1"/>
  <c r="D26" i="9"/>
  <c r="E26" i="9"/>
  <c r="F26" i="9"/>
  <c r="C26" i="9"/>
  <c r="C18" i="9"/>
  <c r="M19" i="26" s="1"/>
  <c r="D18" i="9"/>
  <c r="N19" i="26" s="1"/>
  <c r="E18" i="9"/>
  <c r="O19" i="26" s="1"/>
  <c r="F18" i="9"/>
  <c r="H18" i="9" s="1"/>
  <c r="C19" i="9"/>
  <c r="M20" i="26" s="1"/>
  <c r="D19" i="9"/>
  <c r="N20" i="26" s="1"/>
  <c r="E19" i="9"/>
  <c r="O20" i="26" s="1"/>
  <c r="F19" i="9"/>
  <c r="H19" i="9" l="1"/>
  <c r="P20" i="26"/>
  <c r="R20" i="26" s="1"/>
  <c r="P19" i="26"/>
  <c r="H9" i="29"/>
  <c r="H19" i="29"/>
  <c r="H18" i="29"/>
  <c r="H17" i="29"/>
  <c r="F34" i="8" l="1"/>
  <c r="G1" i="31"/>
  <c r="D10" i="31" s="1"/>
  <c r="D3" i="31"/>
  <c r="H11" i="29" l="1"/>
  <c r="H12" i="29"/>
  <c r="H13" i="29"/>
  <c r="H14" i="29"/>
  <c r="H15" i="29"/>
  <c r="H16" i="29"/>
  <c r="M28" i="26"/>
  <c r="N28" i="26"/>
  <c r="O28" i="26"/>
  <c r="H34" i="9"/>
  <c r="H13" i="9"/>
  <c r="C14" i="9"/>
  <c r="D14" i="9"/>
  <c r="E14" i="9"/>
  <c r="F14" i="9"/>
  <c r="C15" i="9"/>
  <c r="M11" i="26" s="1"/>
  <c r="D15" i="9"/>
  <c r="N11" i="26" s="1"/>
  <c r="E15" i="9"/>
  <c r="O11" i="26" s="1"/>
  <c r="F15" i="9"/>
  <c r="C16" i="9"/>
  <c r="M12" i="26" s="1"/>
  <c r="D16" i="9"/>
  <c r="N12" i="26" s="1"/>
  <c r="E16" i="9"/>
  <c r="O12" i="26" s="1"/>
  <c r="F16" i="9"/>
  <c r="P12" i="26" s="1"/>
  <c r="C17" i="9"/>
  <c r="M18" i="26" s="1"/>
  <c r="D17" i="9"/>
  <c r="N18" i="26" s="1"/>
  <c r="E17" i="9"/>
  <c r="O18" i="26" s="1"/>
  <c r="F17" i="9"/>
  <c r="P18" i="26" s="1"/>
  <c r="D12" i="9"/>
  <c r="E12" i="9"/>
  <c r="F12" i="9"/>
  <c r="H12" i="9" s="1"/>
  <c r="C12" i="9"/>
  <c r="I8" i="8"/>
  <c r="H8" i="8"/>
  <c r="H8" i="29" l="1"/>
  <c r="J8" i="29" s="1"/>
  <c r="H15" i="9"/>
  <c r="P11" i="26"/>
  <c r="R11" i="26" s="1"/>
  <c r="P28" i="26"/>
  <c r="R28" i="26" s="1"/>
  <c r="H40" i="9"/>
  <c r="H41" i="9"/>
  <c r="H33" i="9"/>
  <c r="H35" i="9" s="1"/>
  <c r="H26" i="9"/>
  <c r="H28" i="9" s="1"/>
  <c r="R12" i="26"/>
  <c r="H14" i="9"/>
  <c r="R19" i="26"/>
  <c r="H16" i="9"/>
  <c r="R21" i="26"/>
  <c r="G5" i="9"/>
  <c r="H5" i="9" s="1"/>
  <c r="G6" i="9"/>
  <c r="H6" i="9" s="1"/>
  <c r="P27" i="26"/>
  <c r="R27" i="26" s="1"/>
  <c r="E21" i="22"/>
  <c r="E10" i="22"/>
  <c r="G10" i="22"/>
  <c r="H4" i="26"/>
  <c r="I4" i="26" s="1"/>
  <c r="J30" i="5"/>
  <c r="J31" i="5" s="1"/>
  <c r="F21" i="5"/>
  <c r="G21" i="5" s="1"/>
  <c r="F5" i="5"/>
  <c r="G5" i="5" s="1"/>
  <c r="F12" i="5"/>
  <c r="G12" i="5" s="1"/>
  <c r="H17" i="8"/>
  <c r="H28" i="8" s="1"/>
  <c r="I17" i="8"/>
  <c r="I28" i="8" s="1"/>
  <c r="D4" i="31"/>
  <c r="D5" i="31"/>
  <c r="F4" i="22"/>
  <c r="F5" i="22"/>
  <c r="F6" i="22"/>
  <c r="G34" i="8"/>
  <c r="G35" i="8" s="1"/>
  <c r="J40" i="8" s="1"/>
  <c r="F4" i="8"/>
  <c r="G4" i="8" s="1"/>
  <c r="G5" i="8" s="1"/>
  <c r="H5" i="26"/>
  <c r="I5" i="26" s="1"/>
  <c r="H16" i="26"/>
  <c r="I16" i="26" s="1"/>
  <c r="H17" i="26"/>
  <c r="I17" i="26" s="1"/>
  <c r="H21" i="26"/>
  <c r="I21" i="26"/>
  <c r="H28" i="26"/>
  <c r="I28" i="26" s="1"/>
  <c r="H29" i="26"/>
  <c r="I29" i="26" s="1"/>
  <c r="H33" i="26"/>
  <c r="I33" i="26"/>
  <c r="R6" i="26"/>
  <c r="N27" i="26"/>
  <c r="O27" i="26"/>
  <c r="M27" i="26"/>
  <c r="J42" i="8"/>
  <c r="D14" i="31" s="1"/>
  <c r="D13" i="31"/>
  <c r="E17" i="11"/>
  <c r="G21" i="26"/>
  <c r="J21" i="26" s="1"/>
  <c r="J22" i="26" s="1"/>
  <c r="G35" i="9"/>
  <c r="G30" i="5"/>
  <c r="H7" i="12"/>
  <c r="H8" i="12" s="1"/>
  <c r="H33" i="5"/>
  <c r="I35" i="26"/>
  <c r="I34" i="26"/>
  <c r="G33" i="26"/>
  <c r="Q22" i="26"/>
  <c r="H30" i="26"/>
  <c r="I23" i="26"/>
  <c r="I22" i="26"/>
  <c r="Q13" i="26"/>
  <c r="H18" i="26"/>
  <c r="I11" i="26"/>
  <c r="I10" i="26"/>
  <c r="G9" i="26"/>
  <c r="J9" i="26" s="1"/>
  <c r="J10" i="26" s="1"/>
  <c r="Q6" i="26"/>
  <c r="H6" i="26"/>
  <c r="H2" i="12"/>
  <c r="B28" i="8"/>
  <c r="I33" i="5"/>
  <c r="F101" i="21"/>
  <c r="F102" i="21"/>
  <c r="F104" i="21"/>
  <c r="F105" i="21"/>
  <c r="F106" i="21"/>
  <c r="F100" i="21"/>
  <c r="H193" i="21"/>
  <c r="H191" i="21"/>
  <c r="H190" i="21"/>
  <c r="P29" i="22"/>
  <c r="E21" i="11"/>
  <c r="H13" i="12"/>
  <c r="B23" i="8"/>
  <c r="F23" i="8" s="1"/>
  <c r="G23" i="8" s="1"/>
  <c r="G25" i="8" s="1"/>
  <c r="B9" i="11"/>
  <c r="B10" i="11"/>
  <c r="G28" i="8"/>
  <c r="G17" i="8"/>
  <c r="G8" i="8"/>
  <c r="J8" i="8" s="1"/>
  <c r="J9" i="8" s="1"/>
  <c r="G33" i="5"/>
  <c r="B11" i="5"/>
  <c r="F11" i="5" s="1"/>
  <c r="G11" i="5" s="1"/>
  <c r="B8" i="5"/>
  <c r="F8" i="5" s="1"/>
  <c r="G8" i="5" s="1"/>
  <c r="B24" i="8"/>
  <c r="F24" i="8" s="1"/>
  <c r="G24" i="8" s="1"/>
  <c r="B17" i="8"/>
  <c r="B13" i="8"/>
  <c r="F13" i="8" s="1"/>
  <c r="G13" i="8" s="1"/>
  <c r="G14" i="8" s="1"/>
  <c r="B8" i="8"/>
  <c r="B12" i="5"/>
  <c r="F13" i="5"/>
  <c r="F14" i="5"/>
  <c r="B17" i="5"/>
  <c r="F17" i="5" s="1"/>
  <c r="G17" i="5" s="1"/>
  <c r="G19" i="5" s="1"/>
  <c r="B33" i="5"/>
  <c r="B30" i="5"/>
  <c r="B22" i="5"/>
  <c r="F22" i="5" s="1"/>
  <c r="G22" i="5" s="1"/>
  <c r="B21" i="5"/>
  <c r="B18" i="5"/>
  <c r="F18" i="5" s="1"/>
  <c r="G18" i="5" s="1"/>
  <c r="B6" i="5"/>
  <c r="F6" i="5" s="1"/>
  <c r="G6" i="5" s="1"/>
  <c r="B7" i="5"/>
  <c r="F7" i="5" s="1"/>
  <c r="G7" i="5" s="1"/>
  <c r="I19" i="8"/>
  <c r="I18" i="8"/>
  <c r="F14" i="8"/>
  <c r="I30" i="8"/>
  <c r="I29" i="8"/>
  <c r="I9" i="8"/>
  <c r="I10" i="8"/>
  <c r="B5" i="11"/>
  <c r="F25" i="5"/>
  <c r="H4" i="12"/>
  <c r="F13" i="22"/>
  <c r="F12" i="22"/>
  <c r="F7" i="22"/>
  <c r="F35" i="8"/>
  <c r="E12" i="11"/>
  <c r="E7" i="11"/>
  <c r="G50" i="9"/>
  <c r="G28" i="9"/>
  <c r="G21" i="9"/>
  <c r="G7" i="9"/>
  <c r="F25" i="8"/>
  <c r="F5" i="8"/>
  <c r="I36" i="5"/>
  <c r="I35" i="5"/>
  <c r="I31" i="5"/>
  <c r="F24" i="5"/>
  <c r="F23" i="5"/>
  <c r="F19" i="5"/>
  <c r="F9" i="5"/>
  <c r="E5" i="22" l="1"/>
  <c r="E4" i="22"/>
  <c r="J33" i="5"/>
  <c r="J35" i="5" s="1"/>
  <c r="J36" i="5" s="1"/>
  <c r="E6" i="11" s="1"/>
  <c r="F6" i="11" s="1"/>
  <c r="E11" i="22"/>
  <c r="G11" i="22" s="1"/>
  <c r="E9" i="22"/>
  <c r="G9" i="22" s="1"/>
  <c r="R13" i="26"/>
  <c r="R29" i="26"/>
  <c r="H50" i="9"/>
  <c r="J28" i="8"/>
  <c r="J29" i="8" s="1"/>
  <c r="J17" i="8"/>
  <c r="J18" i="8" s="1"/>
  <c r="J19" i="8" s="1"/>
  <c r="E9" i="11" s="1"/>
  <c r="F9" i="11" s="1"/>
  <c r="G13" i="5"/>
  <c r="E11" i="11"/>
  <c r="F11" i="11" s="1"/>
  <c r="I30" i="26"/>
  <c r="I18" i="26"/>
  <c r="J23" i="26" s="1"/>
  <c r="E15" i="11" s="1"/>
  <c r="D8" i="31"/>
  <c r="D7" i="31"/>
  <c r="D6" i="31"/>
  <c r="D11" i="31"/>
  <c r="D9" i="31"/>
  <c r="G4" i="22"/>
  <c r="E6" i="22"/>
  <c r="G6" i="22" s="1"/>
  <c r="G5" i="22"/>
  <c r="J33" i="26"/>
  <c r="J34" i="26" s="1"/>
  <c r="I6" i="26"/>
  <c r="J11" i="26" s="1"/>
  <c r="H7" i="9"/>
  <c r="E14" i="11" s="1"/>
  <c r="R18" i="26"/>
  <c r="R22" i="26" s="1"/>
  <c r="H17" i="9"/>
  <c r="H21" i="9" s="1"/>
  <c r="J10" i="8"/>
  <c r="J30" i="8"/>
  <c r="E10" i="11" s="1"/>
  <c r="F10" i="11" s="1"/>
  <c r="G23" i="5"/>
  <c r="G24" i="5" s="1"/>
  <c r="G9" i="5"/>
  <c r="G12" i="22" l="1"/>
  <c r="F12" i="11"/>
  <c r="R31" i="26"/>
  <c r="J37" i="26" s="1"/>
  <c r="G14" i="5"/>
  <c r="G25" i="5" s="1"/>
  <c r="E5" i="11" s="1"/>
  <c r="F5" i="11" s="1"/>
  <c r="F7" i="11" s="1"/>
  <c r="J35" i="26"/>
  <c r="E16" i="11" s="1"/>
  <c r="H52" i="9"/>
  <c r="H54" i="9" s="1"/>
  <c r="D12" i="31"/>
  <c r="G7" i="22"/>
  <c r="J38" i="8"/>
  <c r="D16" i="11"/>
  <c r="G13" i="22" l="1"/>
  <c r="E20" i="11" s="1"/>
  <c r="F20" i="11" s="1"/>
  <c r="F21" i="11" s="1"/>
  <c r="F16" i="11"/>
  <c r="D14" i="11"/>
  <c r="F14" i="11" s="1"/>
  <c r="D15" i="31"/>
  <c r="D16" i="31" s="1"/>
  <c r="D15" i="11"/>
  <c r="F15" i="11" s="1"/>
  <c r="P47" i="8"/>
  <c r="F17" i="11" l="1"/>
  <c r="E22" i="11"/>
  <c r="F22" i="11" s="1"/>
  <c r="F23" i="11" s="1"/>
  <c r="F24" i="1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Jorge Luis Melo Da Silva</author>
  </authors>
  <commentList>
    <comment ref="H3" authorId="0" shapeId="0" xr:uid="{00000000-0006-0000-0000-000001000000}">
      <text>
        <r>
          <rPr>
            <b/>
            <sz val="9"/>
            <color indexed="81"/>
            <rFont val="Segoe UI"/>
            <family val="2"/>
          </rPr>
          <t>PREENCHER DE ACORDO COM A TABELA AO LADO</t>
        </r>
        <r>
          <rPr>
            <sz val="9"/>
            <color indexed="81"/>
            <rFont val="Segoe UI"/>
            <family val="2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Usuário do Windows</author>
  </authors>
  <commentList>
    <comment ref="F30" authorId="0" shapeId="0" xr:uid="{00000000-0006-0000-0600-000001000000}">
      <text>
        <r>
          <rPr>
            <b/>
            <sz val="9"/>
            <color indexed="81"/>
            <rFont val="Segoe UI"/>
            <family val="2"/>
          </rPr>
          <t>Usuário do Windows:</t>
        </r>
        <r>
          <rPr>
            <sz val="9"/>
            <color indexed="81"/>
            <rFont val="Segoe UI"/>
            <family val="2"/>
          </rPr>
          <t xml:space="preserve">
44h mensais fixas = 3000 km</t>
        </r>
      </text>
    </comment>
    <comment ref="F33" authorId="0" shapeId="0" xr:uid="{00000000-0006-0000-0600-000002000000}">
      <text>
        <r>
          <rPr>
            <b/>
            <sz val="9"/>
            <color indexed="81"/>
            <rFont val="Segoe UI"/>
            <family val="2"/>
          </rPr>
          <t>Usuário do Windows:</t>
        </r>
        <r>
          <rPr>
            <sz val="9"/>
            <color indexed="81"/>
            <rFont val="Segoe UI"/>
            <family val="2"/>
          </rPr>
          <t xml:space="preserve">
44h mensais fixas = 3000 km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Usuário do Windows</author>
    <author>Jorge Luis Melo Da Silva</author>
  </authors>
  <commentList>
    <comment ref="F8" authorId="0" shapeId="0" xr:uid="{00000000-0006-0000-0700-000001000000}">
      <text>
        <r>
          <rPr>
            <b/>
            <sz val="9"/>
            <color indexed="81"/>
            <rFont val="Segoe UI"/>
            <family val="2"/>
          </rPr>
          <t>Usuário do Windows:</t>
        </r>
        <r>
          <rPr>
            <sz val="9"/>
            <color indexed="81"/>
            <rFont val="Segoe UI"/>
            <family val="2"/>
          </rPr>
          <t xml:space="preserve">
44h mensais fixas = 3000 km</t>
        </r>
      </text>
    </comment>
    <comment ref="F17" authorId="0" shapeId="0" xr:uid="{00000000-0006-0000-0700-000002000000}">
      <text>
        <r>
          <rPr>
            <b/>
            <sz val="9"/>
            <color indexed="81"/>
            <rFont val="Segoe UI"/>
            <family val="2"/>
          </rPr>
          <t>Usuário do Windows:</t>
        </r>
        <r>
          <rPr>
            <sz val="9"/>
            <color indexed="81"/>
            <rFont val="Segoe UI"/>
            <family val="2"/>
          </rPr>
          <t xml:space="preserve">
44h mensais fixas = 3000 km</t>
        </r>
      </text>
    </comment>
    <comment ref="F28" authorId="0" shapeId="0" xr:uid="{00000000-0006-0000-0700-000003000000}">
      <text>
        <r>
          <rPr>
            <b/>
            <sz val="9"/>
            <color indexed="81"/>
            <rFont val="Segoe UI"/>
            <family val="2"/>
          </rPr>
          <t>Usuário do Windows:</t>
        </r>
        <r>
          <rPr>
            <sz val="9"/>
            <color indexed="81"/>
            <rFont val="Segoe UI"/>
            <family val="2"/>
          </rPr>
          <t xml:space="preserve">
44h mensais fixas = 3000 km</t>
        </r>
      </text>
    </comment>
    <comment ref="L37" authorId="1" shapeId="0" xr:uid="{00000000-0006-0000-0700-000004000000}">
      <text>
        <r>
          <rPr>
            <b/>
            <sz val="9"/>
            <color indexed="81"/>
            <rFont val="Segoe UI"/>
            <family val="2"/>
          </rPr>
          <t>Com exceção das obras de conservação rodoviária, que se enquadram no grau de risco 3 da NR 4, todas as demais obras de infraestrutura de transportes são classificadas com grau de risco 4 (MANUAL DE CUSTOS, 2017, VOL. 8, PÁG 14)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Usuário do Windows</author>
  </authors>
  <commentList>
    <comment ref="Q5" authorId="0" shapeId="0" xr:uid="{00000000-0006-0000-0900-000001000000}">
      <text>
        <r>
          <rPr>
            <b/>
            <sz val="9"/>
            <color indexed="81"/>
            <rFont val="Segoe UI"/>
            <family val="2"/>
          </rPr>
          <t>Usuário do Windows:</t>
        </r>
        <r>
          <rPr>
            <sz val="9"/>
            <color indexed="81"/>
            <rFont val="Segoe UI"/>
            <family val="2"/>
          </rPr>
          <t xml:space="preserve">
 Para corpo de aterro (compactação a 100% do Proctor normal): QE = 169.000,00 m3;
</t>
        </r>
      </text>
    </comment>
    <comment ref="F9" authorId="0" shapeId="0" xr:uid="{00000000-0006-0000-0900-000002000000}">
      <text>
        <r>
          <rPr>
            <b/>
            <sz val="9"/>
            <color indexed="81"/>
            <rFont val="Segoe UI"/>
            <family val="2"/>
          </rPr>
          <t>Usuário do Windows:</t>
        </r>
        <r>
          <rPr>
            <sz val="9"/>
            <color indexed="81"/>
            <rFont val="Segoe UI"/>
            <family val="2"/>
          </rPr>
          <t xml:space="preserve">
44h mensais fixas = 3000 km</t>
        </r>
      </text>
    </comment>
    <comment ref="F21" authorId="0" shapeId="0" xr:uid="{00000000-0006-0000-0900-000003000000}">
      <text>
        <r>
          <rPr>
            <b/>
            <sz val="9"/>
            <color indexed="81"/>
            <rFont val="Segoe UI"/>
            <family val="2"/>
          </rPr>
          <t>Usuário do Windows:</t>
        </r>
        <r>
          <rPr>
            <sz val="9"/>
            <color indexed="81"/>
            <rFont val="Segoe UI"/>
            <family val="2"/>
          </rPr>
          <t xml:space="preserve">
44h mensais fixas = 3000 km</t>
        </r>
      </text>
    </comment>
    <comment ref="F33" authorId="0" shapeId="0" xr:uid="{00000000-0006-0000-0900-000004000000}">
      <text>
        <r>
          <rPr>
            <b/>
            <sz val="9"/>
            <color indexed="81"/>
            <rFont val="Segoe UI"/>
            <family val="2"/>
          </rPr>
          <t>Usuário do Windows:</t>
        </r>
        <r>
          <rPr>
            <sz val="9"/>
            <color indexed="81"/>
            <rFont val="Segoe UI"/>
            <family val="2"/>
          </rPr>
          <t xml:space="preserve">
44h mensais fixas = 3000 km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Jorge Luis Melo Da Silva</author>
  </authors>
  <commentList>
    <comment ref="E4" authorId="0" shapeId="0" xr:uid="{00000000-0006-0000-0A00-000001000000}">
      <text>
        <r>
          <rPr>
            <b/>
            <sz val="9"/>
            <color indexed="81"/>
            <rFont val="Segoe UI"/>
            <family val="2"/>
          </rPr>
          <t>2h DIÁRIAS MÉDIAS (PÁG. 35, VOL. 8)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E5" authorId="0" shapeId="0" xr:uid="{00000000-0006-0000-0A00-000002000000}">
      <text>
        <r>
          <rPr>
            <b/>
            <sz val="9"/>
            <color indexed="81"/>
            <rFont val="Segoe UI"/>
            <family val="2"/>
          </rPr>
          <t>2h DIÁRIAS MÉDIAS (PÁG. 35, VOL. 8)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E6" authorId="0" shapeId="0" xr:uid="{00000000-0006-0000-0A00-000003000000}">
      <text>
        <r>
          <rPr>
            <b/>
            <sz val="9"/>
            <color indexed="81"/>
            <rFont val="Segoe UI"/>
            <family val="2"/>
          </rPr>
          <t>2h DIÁRIAS MÉDIAS (PÁG. 35, VOL. 8)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E9" authorId="0" shapeId="0" xr:uid="{00000000-0006-0000-0A00-000004000000}">
      <text>
        <r>
          <rPr>
            <b/>
            <sz val="9"/>
            <color indexed="81"/>
            <rFont val="Segoe UI"/>
            <family val="2"/>
          </rPr>
          <t>11h MENSAIS MÉDIAS (PÁG. 35, VOL. 8)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E10" authorId="0" shapeId="0" xr:uid="{00000000-0006-0000-0A00-000005000000}">
      <text>
        <r>
          <rPr>
            <b/>
            <sz val="9"/>
            <color indexed="81"/>
            <rFont val="Segoe UI"/>
            <family val="2"/>
          </rPr>
          <t>22h MENSAIS MÉDIAS (PÁG. 35, VOL. 8)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E11" authorId="0" shapeId="0" xr:uid="{00000000-0006-0000-0A00-000006000000}">
      <text>
        <r>
          <rPr>
            <b/>
            <sz val="9"/>
            <color indexed="81"/>
            <rFont val="Segoe UI"/>
            <family val="2"/>
          </rPr>
          <t>11h MENSAIS MÉDIAS (PÁG. 35, VOL. 8)</t>
        </r>
        <r>
          <rPr>
            <sz val="9"/>
            <color indexed="81"/>
            <rFont val="Segoe UI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<sst xmlns="http://schemas.openxmlformats.org/spreadsheetml/2006/main" count="1502" uniqueCount="738">
  <si>
    <t>-</t>
  </si>
  <si>
    <t>Item</t>
  </si>
  <si>
    <t>Unidade</t>
  </si>
  <si>
    <t>Quantidade</t>
  </si>
  <si>
    <t xml:space="preserve"> </t>
  </si>
  <si>
    <t>1.</t>
  </si>
  <si>
    <t>2.</t>
  </si>
  <si>
    <t>3.</t>
  </si>
  <si>
    <t>5.</t>
  </si>
  <si>
    <t>Discriminação</t>
  </si>
  <si>
    <t>Custo (R$)</t>
  </si>
  <si>
    <t>Total (R$)</t>
  </si>
  <si>
    <t>Mão de Obra</t>
  </si>
  <si>
    <t>Gerência Técnica</t>
  </si>
  <si>
    <t>mês</t>
  </si>
  <si>
    <t>Geral</t>
  </si>
  <si>
    <t>Motorista</t>
  </si>
  <si>
    <t>Secretária</t>
  </si>
  <si>
    <t>Auxiliar</t>
  </si>
  <si>
    <t>Auxiliar técnico</t>
  </si>
  <si>
    <t>Gerência Administrativa</t>
  </si>
  <si>
    <t>Chefe do setor administrativo</t>
  </si>
  <si>
    <t>Porteiro</t>
  </si>
  <si>
    <t>Vigia</t>
  </si>
  <si>
    <t>Auxiliar administrativo</t>
  </si>
  <si>
    <t>Faxineiro</t>
  </si>
  <si>
    <t>Setor de Medicina e Segurança do Trabalho</t>
  </si>
  <si>
    <t>Veículos</t>
  </si>
  <si>
    <t>Utilização mensal (h)</t>
  </si>
  <si>
    <t>Custo Horário (R$)</t>
  </si>
  <si>
    <t>Produtivo</t>
  </si>
  <si>
    <t>Improdutivo</t>
  </si>
  <si>
    <t>Manutenção do Canteiro de Obras e Acampamentos</t>
  </si>
  <si>
    <t>Equipamentos</t>
  </si>
  <si>
    <t xml:space="preserve">    1.2          </t>
  </si>
  <si>
    <t xml:space="preserve">        1.2.1</t>
  </si>
  <si>
    <t>Encarregado de pavimentação</t>
  </si>
  <si>
    <t>Topógrafo</t>
  </si>
  <si>
    <t>Encarregado de obra de arte especial</t>
  </si>
  <si>
    <t>Encarregado de turma</t>
  </si>
  <si>
    <t>Apontador</t>
  </si>
  <si>
    <t>Equipe de Frente de Serviço</t>
  </si>
  <si>
    <t>Produção Horária (und/h)</t>
  </si>
  <si>
    <t>Equipes de Frente de Serviço para Pavimentação</t>
  </si>
  <si>
    <t>3.2</t>
  </si>
  <si>
    <t>3.3</t>
  </si>
  <si>
    <t xml:space="preserve">Equipes de Frente de Serviço para Drenagem </t>
  </si>
  <si>
    <t>Equipes de Frente de Serviço para Obra de Artes Correntes</t>
  </si>
  <si>
    <t>und</t>
  </si>
  <si>
    <t>Equipes de Frente de Serviço para Sinalização</t>
  </si>
  <si>
    <t>equipe.mês</t>
  </si>
  <si>
    <t>Laboratório de Asfalto</t>
  </si>
  <si>
    <t>Laboratório de Concreto</t>
  </si>
  <si>
    <t>Equipes de Laboratório de Solos para Terraplenagem</t>
  </si>
  <si>
    <t>Equipes de laboratório de Solos para Pavimentação</t>
  </si>
  <si>
    <t>Equipes de Laboratório de Asfaltos</t>
  </si>
  <si>
    <t>Equipes de laboratório de Concreto para OAC</t>
  </si>
  <si>
    <t>2.1</t>
  </si>
  <si>
    <t>2.2</t>
  </si>
  <si>
    <t>Parcela Fixa</t>
  </si>
  <si>
    <t>Parcela Vinculada</t>
  </si>
  <si>
    <t>Equipes de frente de serviço</t>
  </si>
  <si>
    <r>
      <t>equipe</t>
    </r>
    <r>
      <rPr>
        <sz val="7"/>
        <rFont val="Arial"/>
        <family val="2"/>
      </rPr>
      <t>x</t>
    </r>
    <r>
      <rPr>
        <sz val="9"/>
        <rFont val="Arial"/>
        <family val="2"/>
      </rPr>
      <t>mês</t>
    </r>
  </si>
  <si>
    <t>Laboratório de asfaltos</t>
  </si>
  <si>
    <t>Laboratório de concreto</t>
  </si>
  <si>
    <t>Despesas Diversas</t>
  </si>
  <si>
    <t>%</t>
  </si>
  <si>
    <t>Dispositivos de drenagem superficial</t>
  </si>
  <si>
    <r>
      <t>E</t>
    </r>
    <r>
      <rPr>
        <b/>
        <vertAlign val="subscript"/>
        <sz val="12"/>
        <color rgb="FFFFFFFF"/>
        <rFont val="Arial"/>
        <family val="2"/>
      </rPr>
      <t>fsdu</t>
    </r>
  </si>
  <si>
    <t>Meio fio</t>
  </si>
  <si>
    <t>Sarjeta de concreto</t>
  </si>
  <si>
    <t>Valeta de concreto</t>
  </si>
  <si>
    <t>Sarjeta com ou sem revestimento vegetal</t>
  </si>
  <si>
    <t>Valeta com ou sem revestimento vegetal</t>
  </si>
  <si>
    <t>Diâmetro (m)</t>
  </si>
  <si>
    <t>Corpo BSTC</t>
  </si>
  <si>
    <t>Corpo BDTC</t>
  </si>
  <si>
    <t>Corpo BTTC</t>
  </si>
  <si>
    <t>Boca BSTC</t>
  </si>
  <si>
    <t>Boca BDTC</t>
  </si>
  <si>
    <t>Boca BTTC</t>
  </si>
  <si>
    <t>Dimensões (m)</t>
  </si>
  <si>
    <t>Corpo BSCC</t>
  </si>
  <si>
    <t>Corpo BDCC</t>
  </si>
  <si>
    <t>Corpo BTCC</t>
  </si>
  <si>
    <t>1,50 x 1,50</t>
  </si>
  <si>
    <t>2,00 x 2,00</t>
  </si>
  <si>
    <t>2,50 x 2,50</t>
  </si>
  <si>
    <t>3,00 x 3,00</t>
  </si>
  <si>
    <t>Boca BSCC</t>
  </si>
  <si>
    <t>Boca BDCC</t>
  </si>
  <si>
    <t>Boca BTCC</t>
  </si>
  <si>
    <t>Total de Equipes de Frente de Serviço :</t>
  </si>
  <si>
    <r>
      <t>E</t>
    </r>
    <r>
      <rPr>
        <b/>
        <vertAlign val="subscript"/>
        <sz val="12"/>
        <color rgb="FFFFFFFF"/>
        <rFont val="Arial"/>
        <family val="2"/>
      </rPr>
      <t>Lu</t>
    </r>
  </si>
  <si>
    <t>P9876</t>
  </si>
  <si>
    <t>P9864</t>
  </si>
  <si>
    <t>P9851</t>
  </si>
  <si>
    <t>P9875</t>
  </si>
  <si>
    <t>P9858</t>
  </si>
  <si>
    <t>P9833</t>
  </si>
  <si>
    <t>P9804</t>
  </si>
  <si>
    <t>Natureza das Obras</t>
  </si>
  <si>
    <t>Porte da Obra</t>
  </si>
  <si>
    <t>Pequeno Porte</t>
  </si>
  <si>
    <t>Médio Porte</t>
  </si>
  <si>
    <t>Grande Porte</t>
  </si>
  <si>
    <t>Construção rodoviária</t>
  </si>
  <si>
    <t>Até 15 km de pista simples por ano</t>
  </si>
  <si>
    <t>De 15 a 30 km de pista simples por ano</t>
  </si>
  <si>
    <t>Acima de 30 km de pista simples por ano</t>
  </si>
  <si>
    <t>Restauração rodoviária</t>
  </si>
  <si>
    <t>Até 20 km de pista simples por ano</t>
  </si>
  <si>
    <t>De 20 a 40 km de pista simples por ano</t>
  </si>
  <si>
    <t>Acima de 40 km de pista simples por ano</t>
  </si>
  <si>
    <t>Construção de obras de arte especiais</t>
  </si>
  <si>
    <t>Até 150 m de pista simples por ano</t>
  </si>
  <si>
    <t>De 150 a 300 m de pista simples por ano</t>
  </si>
  <si>
    <t>Acima de 300 m de pista simples por ano</t>
  </si>
  <si>
    <t>Recuperação, reforço e alargamento de obras de arte especiais</t>
  </si>
  <si>
    <t>Até 200 m de pista simples por ano</t>
  </si>
  <si>
    <t>De 200 a 400 m de pista simples por ano</t>
  </si>
  <si>
    <t>Acima de 400 m de pista simples por ano</t>
  </si>
  <si>
    <t>Até 15 km de via singela por ano</t>
  </si>
  <si>
    <t>De 15 a 30 km de via singela por ano</t>
  </si>
  <si>
    <t>Acima de 30 km de via singela por ano</t>
  </si>
  <si>
    <t>Construção ferroviária (Bitola métrica ou larga)</t>
  </si>
  <si>
    <t>OBRA:</t>
  </si>
  <si>
    <t>NATUREZA DA OBRA:</t>
  </si>
  <si>
    <t>EXTENSÃO / PRAZO (m/ano)</t>
  </si>
  <si>
    <t>PRAZO (ANO):</t>
  </si>
  <si>
    <t>EXTENSÃO (m) - OAE:</t>
  </si>
  <si>
    <t>PORTE DA OBRA (OAE):</t>
  </si>
  <si>
    <t>3</t>
  </si>
  <si>
    <t>3.1</t>
  </si>
  <si>
    <t>3.1.1</t>
  </si>
  <si>
    <t>3.1.2</t>
  </si>
  <si>
    <t>3.1.3</t>
  </si>
  <si>
    <t>4.1</t>
  </si>
  <si>
    <t>4.2</t>
  </si>
  <si>
    <t>P9806</t>
  </si>
  <si>
    <t>P9903</t>
  </si>
  <si>
    <t>Auxiliar de topografia</t>
  </si>
  <si>
    <t>P9883</t>
  </si>
  <si>
    <t>P9809</t>
  </si>
  <si>
    <t>P9819</t>
  </si>
  <si>
    <t>P9842</t>
  </si>
  <si>
    <t>P9896</t>
  </si>
  <si>
    <t>P9878</t>
  </si>
  <si>
    <t>P9897</t>
  </si>
  <si>
    <t>P9840</t>
  </si>
  <si>
    <t>P9827</t>
  </si>
  <si>
    <t>Encarregado administrativo</t>
  </si>
  <si>
    <t>Engenheiro supervisor</t>
  </si>
  <si>
    <t>Encarregado geral</t>
  </si>
  <si>
    <t>Equipe de Produção</t>
  </si>
  <si>
    <t>Equipe de Topografia</t>
  </si>
  <si>
    <t>5.1</t>
  </si>
  <si>
    <t>5.2</t>
  </si>
  <si>
    <t>CARGA HORÁRIA MENSAL:</t>
  </si>
  <si>
    <t>Tabela 01 - Coeficientes para cálculo das equipes de acompanhamento por unidade de serviço para os dispositivos de drenagem lineares</t>
  </si>
  <si>
    <t>Tabela 02 - Coeficientes para cálculo das equipes de acompanhamento por unidade de serviço para os corpos de bueiros tubulares de concreto</t>
  </si>
  <si>
    <t>Tabela 03 - Coeficientes para cálculo das equipes de acompanhamento por unidade de serviço para as bocas de bueiros tubulares de concreto</t>
  </si>
  <si>
    <t>Tabela 04 - Coeficientes para cálculo das equipes de acompanhamento por unidade de serviço para os corpos de bueiros celulares de concreto moldados “in loco”</t>
  </si>
  <si>
    <t>Tabela 05 - Coeficientes para cálculo das equipes de acompanhamento por unidade de serviço para os corpos de bueiros celulares de concreto pré-moldados</t>
  </si>
  <si>
    <t>Tabela 06 - Coeficientes para cálculo das equipes de acompanhamento por unidade de serviço para execução de bocas de bueiros celulares de concreto</t>
  </si>
  <si>
    <t>1.1</t>
  </si>
  <si>
    <t>1.2</t>
  </si>
  <si>
    <t>Tabela 07 - Equipes de laboratório de concreto por unidade de serviço para corpos de bueiros tubulares</t>
  </si>
  <si>
    <t>Tabela 08 - Equipes de laboratório de concreto por unidade de serviço para bocas de bueiros tubulares</t>
  </si>
  <si>
    <t>Tabela 09 - Equipes de laboratório de concreto por unidade de serviço para corpos de bueiros celulares moldados “in loco”</t>
  </si>
  <si>
    <t>Tabela 10 - Equipes de laboratório de concreto por unidade de serviço para bocas de bueiros celulares</t>
  </si>
  <si>
    <t>Laboratório de Solos para terraplenagem</t>
  </si>
  <si>
    <t>Descrição</t>
  </si>
  <si>
    <t>Canteiro Referencial</t>
  </si>
  <si>
    <r>
      <t>Área do terreno (m</t>
    </r>
    <r>
      <rPr>
        <vertAlign val="superscript"/>
        <sz val="9"/>
        <color rgb="FF000000"/>
        <rFont val="Arial"/>
        <family val="2"/>
      </rPr>
      <t>2</t>
    </r>
    <r>
      <rPr>
        <sz val="9"/>
        <color rgb="FF000000"/>
        <rFont val="Arial"/>
        <family val="2"/>
      </rPr>
      <t>)</t>
    </r>
  </si>
  <si>
    <r>
      <t>Instalações cobertas (m</t>
    </r>
    <r>
      <rPr>
        <vertAlign val="superscript"/>
        <sz val="9"/>
        <color rgb="FF000000"/>
        <rFont val="Arial"/>
        <family val="2"/>
      </rPr>
      <t>2</t>
    </r>
    <r>
      <rPr>
        <sz val="9"/>
        <color rgb="FF000000"/>
        <rFont val="Arial"/>
        <family val="2"/>
      </rPr>
      <t>)</t>
    </r>
  </si>
  <si>
    <r>
      <t>Áreas descobertas (m</t>
    </r>
    <r>
      <rPr>
        <vertAlign val="superscript"/>
        <sz val="9"/>
        <color rgb="FF000000"/>
        <rFont val="Arial"/>
        <family val="2"/>
      </rPr>
      <t>2</t>
    </r>
    <r>
      <rPr>
        <sz val="9"/>
        <color rgb="FF000000"/>
        <rFont val="Arial"/>
        <family val="2"/>
      </rPr>
      <t>)</t>
    </r>
  </si>
  <si>
    <t xml:space="preserve">N° DA OPÇÃO : </t>
  </si>
  <si>
    <t>Descrição dos Itens</t>
  </si>
  <si>
    <t xml:space="preserve">Construção / Restauração </t>
  </si>
  <si>
    <t>Conservação</t>
  </si>
  <si>
    <t>Quantidades</t>
  </si>
  <si>
    <t xml:space="preserve">1. </t>
  </si>
  <si>
    <t>1.1.</t>
  </si>
  <si>
    <t>1.1.1.</t>
  </si>
  <si>
    <t>1.1.1.1.</t>
  </si>
  <si>
    <t>1.1.1.2.</t>
  </si>
  <si>
    <t>1.1.1.3.</t>
  </si>
  <si>
    <t>Técnico em meio ambiente</t>
  </si>
  <si>
    <t>1.1.1.4.</t>
  </si>
  <si>
    <t>1.1.1.5.</t>
  </si>
  <si>
    <t>1.1.2.</t>
  </si>
  <si>
    <t>1.1.2.1.</t>
  </si>
  <si>
    <t>Veículo leve</t>
  </si>
  <si>
    <t>und (h)</t>
  </si>
  <si>
    <t>1.1.2.2.</t>
  </si>
  <si>
    <t>Ônibus coletivo</t>
  </si>
  <si>
    <t>1.1.2.3.</t>
  </si>
  <si>
    <t>1.2.</t>
  </si>
  <si>
    <t>1.2.1.</t>
  </si>
  <si>
    <t>1.2.1.1.</t>
  </si>
  <si>
    <t>Engenheiro auxiliar</t>
  </si>
  <si>
    <t>1.2.1.2.</t>
  </si>
  <si>
    <t>1.2.2.</t>
  </si>
  <si>
    <t>1.2.2.1.</t>
  </si>
  <si>
    <t xml:space="preserve">2. </t>
  </si>
  <si>
    <t>2.1.</t>
  </si>
  <si>
    <t>2.1.1.</t>
  </si>
  <si>
    <t>2.1.1.1.</t>
  </si>
  <si>
    <t>2.1.1.2.</t>
  </si>
  <si>
    <t>2.1.1.3.</t>
  </si>
  <si>
    <t>2.1.1.4.</t>
  </si>
  <si>
    <t>2.1.1.5.</t>
  </si>
  <si>
    <t>2.1.2.</t>
  </si>
  <si>
    <t>2.1.2.1.</t>
  </si>
  <si>
    <t>2.2.</t>
  </si>
  <si>
    <t>2.2.1.</t>
  </si>
  <si>
    <t>2.2.1.1.</t>
  </si>
  <si>
    <t>2.2.1.2.</t>
  </si>
  <si>
    <t>Tabela 15 - Parcela fixa da administração local para obras rodoviárias</t>
  </si>
  <si>
    <t>Tabela 26 - Parcela vinculada da administração local para obras de arte especiais</t>
  </si>
  <si>
    <t>Obras de Arte Especiais</t>
  </si>
  <si>
    <t>Und</t>
  </si>
  <si>
    <t>1.1.3.</t>
  </si>
  <si>
    <t>Tabela 27 - Parcela vinculada da administração local para obras de conservação rodoviária</t>
  </si>
  <si>
    <t>Equipe de Conservação</t>
  </si>
  <si>
    <t>Encarregado de conservação</t>
  </si>
  <si>
    <t>Tabela 28 - Equipe de topografia proposta para as obras de infraestrutura de transportes</t>
  </si>
  <si>
    <t>Veículos e Equipamentos</t>
  </si>
  <si>
    <t xml:space="preserve">N° DA OPÇÃO (OAE) : </t>
  </si>
  <si>
    <t>P9884</t>
  </si>
  <si>
    <t>P9893</t>
  </si>
  <si>
    <t>Veículo leve - 53 kW</t>
  </si>
  <si>
    <t>E9560</t>
  </si>
  <si>
    <t>onde:</t>
  </si>
  <si>
    <t>Manutenção do Canteiro de Obras e Equipamentos</t>
  </si>
  <si>
    <t>E9686</t>
  </si>
  <si>
    <t>E9669</t>
  </si>
  <si>
    <t>E9524</t>
  </si>
  <si>
    <t>PORTE DA OBRA (CONSTRUÇÃO):</t>
  </si>
  <si>
    <t>Engenheiro chefe</t>
  </si>
  <si>
    <t>1.1.1.6.</t>
  </si>
  <si>
    <t>Utilização Produtiva (h)</t>
  </si>
  <si>
    <t>Utilização Improdutiva (h)</t>
  </si>
  <si>
    <t>Equipe de Produção de Terraplenagem</t>
  </si>
  <si>
    <t>Equipe de Produção de Pavimentação</t>
  </si>
  <si>
    <t>Van furgão a diesel - 93 kW</t>
  </si>
  <si>
    <t>2.2.1</t>
  </si>
  <si>
    <t>3.2.1</t>
  </si>
  <si>
    <t>P9955</t>
  </si>
  <si>
    <t>P9946</t>
  </si>
  <si>
    <t>P9869</t>
  </si>
  <si>
    <t>P9916</t>
  </si>
  <si>
    <t>P9949</t>
  </si>
  <si>
    <t>P9950</t>
  </si>
  <si>
    <t>E9125</t>
  </si>
  <si>
    <t>P9948</t>
  </si>
  <si>
    <t>Código SICRO</t>
  </si>
  <si>
    <t>E9093</t>
  </si>
  <si>
    <t>Tabela 22 - Equipe de produção de terraplenagem para obras de construção e restauração rodoviária</t>
  </si>
  <si>
    <t>Tabela 23 - Equipe de produção de pavimentação para obras de construção e restauração rodoviária</t>
  </si>
  <si>
    <t>Mão de Obra de Terraplenagem</t>
  </si>
  <si>
    <t>Mão de Obra de Pavimentação</t>
  </si>
  <si>
    <t>P9951</t>
  </si>
  <si>
    <t>P9947</t>
  </si>
  <si>
    <t>Total (R$)/ Mês</t>
  </si>
  <si>
    <t>P9952</t>
  </si>
  <si>
    <t>P9954</t>
  </si>
  <si>
    <t>P9953</t>
  </si>
  <si>
    <t>Equipe de Manutenção</t>
  </si>
  <si>
    <t>P9867</t>
  </si>
  <si>
    <t>3.2.</t>
  </si>
  <si>
    <t>3.1.</t>
  </si>
  <si>
    <t>3.3.</t>
  </si>
  <si>
    <t>E9134</t>
  </si>
  <si>
    <t>Mini-ônibus - 111 Kw</t>
  </si>
  <si>
    <t>Conservação 2</t>
  </si>
  <si>
    <t>1)           Equipes acompanhamento de frente de serviço</t>
  </si>
  <si>
    <t>1)           Equipes de laboratório de solos para terraplenagem :</t>
  </si>
  <si>
    <t>2)           Equipes de laboratório de solos para pavimentação:</t>
  </si>
  <si>
    <t>equipexmês</t>
  </si>
  <si>
    <t>3)           Equipes de laboratório de asfaltos:</t>
  </si>
  <si>
    <r>
      <t>C</t>
    </r>
    <r>
      <rPr>
        <vertAlign val="subscript"/>
        <sz val="11"/>
        <color rgb="FF000000"/>
        <rFont val="Arial"/>
        <family val="2"/>
      </rPr>
      <t>AC</t>
    </r>
    <r>
      <rPr>
        <sz val="11"/>
        <color rgb="FF000000"/>
        <rFont val="Arial"/>
        <family val="2"/>
      </rPr>
      <t xml:space="preserve"> representa o coeficiente de proporcionalidade de áreas cobertas</t>
    </r>
  </si>
  <si>
    <r>
      <t>AC</t>
    </r>
    <r>
      <rPr>
        <vertAlign val="subscript"/>
        <sz val="11"/>
        <color rgb="FF000000"/>
        <rFont val="Arial"/>
        <family val="2"/>
      </rPr>
      <t>P</t>
    </r>
    <r>
      <rPr>
        <sz val="11"/>
        <color rgb="FF000000"/>
        <rFont val="Arial"/>
        <family val="2"/>
      </rPr>
      <t xml:space="preserve"> representa a área das instalações cobertas previstas em projeto (m</t>
    </r>
    <r>
      <rPr>
        <vertAlign val="superscript"/>
        <sz val="11"/>
        <color rgb="FF000000"/>
        <rFont val="Arial"/>
        <family val="2"/>
      </rPr>
      <t>2</t>
    </r>
    <r>
      <rPr>
        <sz val="11"/>
        <color rgb="FF000000"/>
        <rFont val="Arial"/>
        <family val="2"/>
      </rPr>
      <t>);</t>
    </r>
  </si>
  <si>
    <r>
      <t>AC</t>
    </r>
    <r>
      <rPr>
        <vertAlign val="subscript"/>
        <sz val="11"/>
        <color rgb="FF000000"/>
        <rFont val="Arial"/>
        <family val="2"/>
      </rPr>
      <t>R</t>
    </r>
    <r>
      <rPr>
        <sz val="11"/>
        <color rgb="FF000000"/>
        <rFont val="Arial"/>
        <family val="2"/>
      </rPr>
      <t xml:space="preserve"> representa a área das instalações cobertas referenciais (m</t>
    </r>
    <r>
      <rPr>
        <vertAlign val="superscript"/>
        <sz val="11"/>
        <color rgb="FF000000"/>
        <rFont val="Arial"/>
        <family val="2"/>
      </rPr>
      <t>2</t>
    </r>
    <r>
      <rPr>
        <sz val="11"/>
        <color rgb="FF000000"/>
        <rFont val="Arial"/>
        <family val="2"/>
      </rPr>
      <t>);</t>
    </r>
  </si>
  <si>
    <t>CAC</t>
  </si>
  <si>
    <t>QUADRO-RESUMO DOS CUSTOS DA ADMINISTRAÇÃO LOCAL</t>
  </si>
  <si>
    <t>1.2.1</t>
  </si>
  <si>
    <t>1.3.1</t>
  </si>
  <si>
    <t>1.1.1</t>
  </si>
  <si>
    <t>1.4.1</t>
  </si>
  <si>
    <t xml:space="preserve">1.1          </t>
  </si>
  <si>
    <t xml:space="preserve">1.2          </t>
  </si>
  <si>
    <t xml:space="preserve">1.3         </t>
  </si>
  <si>
    <t xml:space="preserve">1.4         </t>
  </si>
  <si>
    <t xml:space="preserve">2.1          </t>
  </si>
  <si>
    <t>2.1.1</t>
  </si>
  <si>
    <t xml:space="preserve">1.1.1          </t>
  </si>
  <si>
    <t>1.1.1.1</t>
  </si>
  <si>
    <t>1.1.1.2</t>
  </si>
  <si>
    <t>1.1.1.3</t>
  </si>
  <si>
    <t>1.1.1.4</t>
  </si>
  <si>
    <t xml:space="preserve">1.1.2         </t>
  </si>
  <si>
    <t>1.1.2.1</t>
  </si>
  <si>
    <t>1.1.2.2</t>
  </si>
  <si>
    <t xml:space="preserve">1.2         </t>
  </si>
  <si>
    <t xml:space="preserve">1.2.1          </t>
  </si>
  <si>
    <t>1.2.1.1</t>
  </si>
  <si>
    <t>1.2.1.2</t>
  </si>
  <si>
    <t xml:space="preserve">1.2.2          </t>
  </si>
  <si>
    <t>2</t>
  </si>
  <si>
    <t xml:space="preserve">2.1.1          </t>
  </si>
  <si>
    <t>2.1.1.1</t>
  </si>
  <si>
    <t xml:space="preserve">2.1.2         </t>
  </si>
  <si>
    <t>2.1.2.1</t>
  </si>
  <si>
    <t>1</t>
  </si>
  <si>
    <t>Total (R$) / Mês</t>
  </si>
  <si>
    <t xml:space="preserve">3.1          </t>
  </si>
  <si>
    <t>ATIVIDADES DE ENGENHARIA SÃO CLASSIFICADAS COMO GRAU DE RISCO 4</t>
  </si>
  <si>
    <t>N° DE EMPREGADOS NO ESTABELECIMENTO</t>
  </si>
  <si>
    <t>(NMAX) Número máximo de funcionários</t>
  </si>
  <si>
    <r>
      <t>1.</t>
    </r>
    <r>
      <rPr>
        <b/>
        <sz val="7"/>
        <color theme="1"/>
        <rFont val="Arial"/>
        <family val="2"/>
      </rPr>
      <t xml:space="preserve">             </t>
    </r>
    <r>
      <rPr>
        <b/>
        <sz val="9"/>
        <color theme="1"/>
        <rFont val="Arial"/>
        <family val="2"/>
      </rPr>
      <t> </t>
    </r>
  </si>
  <si>
    <t>1.1.2</t>
  </si>
  <si>
    <t>3.2.2</t>
  </si>
  <si>
    <t>3.2.3</t>
  </si>
  <si>
    <t xml:space="preserve">3.2        </t>
  </si>
  <si>
    <r>
      <t>Q</t>
    </r>
    <r>
      <rPr>
        <b/>
        <vertAlign val="subscript"/>
        <sz val="11"/>
        <rFont val="Arial"/>
        <family val="2"/>
      </rPr>
      <t>E</t>
    </r>
  </si>
  <si>
    <t>2.1.2</t>
  </si>
  <si>
    <t>FONTE: MANUAL DO SICRO - VOLUME 08 - PÁG. 69</t>
  </si>
  <si>
    <t>M²</t>
  </si>
  <si>
    <t>UN</t>
  </si>
  <si>
    <r>
      <t>E</t>
    </r>
    <r>
      <rPr>
        <b/>
        <vertAlign val="subscript"/>
        <sz val="11"/>
        <rFont val="Arial"/>
        <family val="2"/>
      </rPr>
      <t>LC</t>
    </r>
  </si>
  <si>
    <t>M³</t>
  </si>
  <si>
    <t>PREENCHER</t>
  </si>
  <si>
    <r>
      <t>E</t>
    </r>
    <r>
      <rPr>
        <b/>
        <vertAlign val="subscript"/>
        <sz val="11"/>
        <rFont val="Arial"/>
        <family val="2"/>
      </rPr>
      <t>LS</t>
    </r>
  </si>
  <si>
    <r>
      <t>E</t>
    </r>
    <r>
      <rPr>
        <b/>
        <vertAlign val="subscript"/>
        <sz val="11"/>
        <rFont val="Arial"/>
        <family val="2"/>
      </rPr>
      <t>LA</t>
    </r>
  </si>
  <si>
    <r>
      <t>E</t>
    </r>
    <r>
      <rPr>
        <b/>
        <vertAlign val="subscript"/>
        <sz val="11"/>
        <rFont val="Arial"/>
        <family val="2"/>
      </rPr>
      <t>LU</t>
    </r>
  </si>
  <si>
    <r>
      <t>E</t>
    </r>
    <r>
      <rPr>
        <b/>
        <vertAlign val="subscript"/>
        <sz val="11"/>
        <rFont val="Arial"/>
        <family val="2"/>
      </rPr>
      <t>fs</t>
    </r>
  </si>
  <si>
    <r>
      <t>E</t>
    </r>
    <r>
      <rPr>
        <b/>
        <vertAlign val="subscript"/>
        <sz val="11"/>
        <rFont val="Arial"/>
        <family val="2"/>
      </rPr>
      <t>fsdu</t>
    </r>
  </si>
  <si>
    <t>CASO SEJA NECESSÁRIA A INCLUSÃO DE OUTROS SERVIÇOS ALÉM DOS JÁ EXISTENTES NAS LISTAS, BASTA INSERIR LINHAS ENTRE OS SERVIÇOS JÁ EXISTENTES, LEMBRANDO SEMPRE DE CONFERIR O SOMATÓRIO FINAL</t>
  </si>
  <si>
    <t>EXTENSÃO (km):</t>
  </si>
  <si>
    <t>Classificação das obras de construção e restauração rodoviária</t>
  </si>
  <si>
    <t>Classificação das famílias de serviços nas obras de artes especiais</t>
  </si>
  <si>
    <t>Classificação das obras de construção ferroviária</t>
  </si>
  <si>
    <t>T</t>
  </si>
  <si>
    <t>M</t>
  </si>
  <si>
    <t>Cod. Auxiliar</t>
  </si>
  <si>
    <t>Descricao</t>
  </si>
  <si>
    <t>Quantidade (h)</t>
  </si>
  <si>
    <t>Qtd de funcionário/mês</t>
  </si>
  <si>
    <t>Quantidade de Mão de Obra</t>
  </si>
  <si>
    <t>Quantidade de Equipes</t>
  </si>
  <si>
    <t>=</t>
  </si>
  <si>
    <t>ACP</t>
  </si>
  <si>
    <t>ACR</t>
  </si>
  <si>
    <t>Tabela 11 - Áreas do canteiro de pequeno porte adotadas como referência para dimensionamento da equipe de manutenção</t>
  </si>
  <si>
    <t>1.3.</t>
  </si>
  <si>
    <t>2.3.</t>
  </si>
  <si>
    <t>Eletricista</t>
  </si>
  <si>
    <t>Pedreiro</t>
  </si>
  <si>
    <t>Servente</t>
  </si>
  <si>
    <t>Caminhão guindauto</t>
  </si>
  <si>
    <t>Caminhão pipa</t>
  </si>
  <si>
    <t>Motoniveladora</t>
  </si>
  <si>
    <t>h</t>
  </si>
  <si>
    <t xml:space="preserve">Quantidade </t>
  </si>
  <si>
    <t>Conservação Rodoviária</t>
  </si>
  <si>
    <t>Descrição dos Serviços</t>
  </si>
  <si>
    <t>Tabela 32 - Manutenção do canteiro de obras e acampamentos referencial</t>
  </si>
  <si>
    <t>Redução de 50% na equipe do canteiro referencial devido ao uso de container para conservação, e as relações de áreas não serem representativas. Não válido para locação de imóveis.</t>
  </si>
  <si>
    <t>Código</t>
  </si>
  <si>
    <t>PINTURA DE LIGAÇÃO</t>
  </si>
  <si>
    <r>
      <rPr>
        <i/>
        <sz val="10"/>
        <color rgb="FF001F5F"/>
        <rFont val="Arial"/>
        <family val="2"/>
      </rPr>
      <t>CGCIT</t>
    </r>
  </si>
  <si>
    <r>
      <rPr>
        <sz val="9.5"/>
        <color rgb="FF003366"/>
        <rFont val="Arial Black"/>
        <family val="2"/>
      </rPr>
      <t>SISTEMA DE CUSTOS REFERENCIAIS DE OBRAS - SICRO</t>
    </r>
  </si>
  <si>
    <r>
      <rPr>
        <i/>
        <sz val="10"/>
        <color rgb="FF001F5F"/>
        <rFont val="Arial"/>
        <family val="2"/>
      </rPr>
      <t>DNIT</t>
    </r>
  </si>
  <si>
    <t>P9901</t>
  </si>
  <si>
    <t>Sistema de Orçamento e Custos
Planilha de Preços</t>
  </si>
  <si>
    <t>Obra:</t>
  </si>
  <si>
    <t>Descrição Completa</t>
  </si>
  <si>
    <t>Unid</t>
  </si>
  <si>
    <t>ADMINISTRAÇÃO LOCAL</t>
  </si>
  <si>
    <t>PAVIMENTAÇÃO</t>
  </si>
  <si>
    <t>ESCAVAÇÃO MECÂNICA DE VALA EM MATERIAL DE 1ª CATEGORIA</t>
  </si>
  <si>
    <t>SINALIZAÇÃO</t>
  </si>
  <si>
    <t>Orçamento</t>
  </si>
  <si>
    <t>MOBILIZAÇÃO E DESMOBILIZAÇÃO</t>
  </si>
  <si>
    <t>CANTEIRO DE OBRAS</t>
  </si>
  <si>
    <t>P9801</t>
  </si>
  <si>
    <t>Ajudante</t>
  </si>
  <si>
    <t>P9802</t>
  </si>
  <si>
    <t>Ajudante especializado</t>
  </si>
  <si>
    <t>P9803</t>
  </si>
  <si>
    <t>Almoxarife</t>
  </si>
  <si>
    <t>P9805</t>
  </si>
  <si>
    <t>Armador</t>
  </si>
  <si>
    <t>P9807</t>
  </si>
  <si>
    <t>Bombeiro hidráulico</t>
  </si>
  <si>
    <t>P9808</t>
  </si>
  <si>
    <t>Carpinteiro</t>
  </si>
  <si>
    <t>P9810</t>
  </si>
  <si>
    <t>P9811</t>
  </si>
  <si>
    <t>Encarregado especializado</t>
  </si>
  <si>
    <t>P9812</t>
  </si>
  <si>
    <t>Engenheiro</t>
  </si>
  <si>
    <t>P9814</t>
  </si>
  <si>
    <t>Operacional</t>
  </si>
  <si>
    <t>P9815</t>
  </si>
  <si>
    <t>Jardineiro</t>
  </si>
  <si>
    <t>P9821</t>
  </si>
  <si>
    <t>P9822</t>
  </si>
  <si>
    <t>Pintor</t>
  </si>
  <si>
    <t>P9823</t>
  </si>
  <si>
    <t>Serralheiro</t>
  </si>
  <si>
    <t>P9824</t>
  </si>
  <si>
    <t>P9825</t>
  </si>
  <si>
    <t>Soldador</t>
  </si>
  <si>
    <t>P9826</t>
  </si>
  <si>
    <t>P9830</t>
  </si>
  <si>
    <t>Montador</t>
  </si>
  <si>
    <t>Auxiliar de laboratório</t>
  </si>
  <si>
    <t>P9836</t>
  </si>
  <si>
    <t>Geólogo</t>
  </si>
  <si>
    <t>P9837</t>
  </si>
  <si>
    <t>Oceanógrafo</t>
  </si>
  <si>
    <t>P9843</t>
  </si>
  <si>
    <t>Operador de equipamento leve</t>
  </si>
  <si>
    <t>P9844</t>
  </si>
  <si>
    <t>Capitão fluvial</t>
  </si>
  <si>
    <t>P9845</t>
  </si>
  <si>
    <t>Operador de equipamento pesado</t>
  </si>
  <si>
    <t>P9846</t>
  </si>
  <si>
    <t>Operador de equipamento especial</t>
  </si>
  <si>
    <t>P9847</t>
  </si>
  <si>
    <t>Perfurador de tubulão</t>
  </si>
  <si>
    <t>P9848</t>
  </si>
  <si>
    <t>Desenhista</t>
  </si>
  <si>
    <t>P9849</t>
  </si>
  <si>
    <t>Condutor maquinista fluvial</t>
  </si>
  <si>
    <t>P9850</t>
  </si>
  <si>
    <t>Copeiro</t>
  </si>
  <si>
    <t>Médico do trabalho</t>
  </si>
  <si>
    <t>P9852</t>
  </si>
  <si>
    <t>Blaster</t>
  </si>
  <si>
    <t>P9853</t>
  </si>
  <si>
    <t>Pré-marcador</t>
  </si>
  <si>
    <t>P9854</t>
  </si>
  <si>
    <t>Recepcionista</t>
  </si>
  <si>
    <t>P9855</t>
  </si>
  <si>
    <t>Marinheiro de máquinas</t>
  </si>
  <si>
    <t>P9856</t>
  </si>
  <si>
    <t>Marinheiro de convés</t>
  </si>
  <si>
    <t>P9857</t>
  </si>
  <si>
    <t>Marinheiro de convés - mensalista</t>
  </si>
  <si>
    <t>Laboratorista</t>
  </si>
  <si>
    <t>P9859</t>
  </si>
  <si>
    <t>Trabalhador de via</t>
  </si>
  <si>
    <t>P9861</t>
  </si>
  <si>
    <t>Selecionador de material pétreo</t>
  </si>
  <si>
    <t>Engenheiro de segurança do trabalho</t>
  </si>
  <si>
    <t>P9865</t>
  </si>
  <si>
    <t>Técnico em enfermagem</t>
  </si>
  <si>
    <t>P9866</t>
  </si>
  <si>
    <t>Motorista de caminhão</t>
  </si>
  <si>
    <t>Técnico especializado - mensalista</t>
  </si>
  <si>
    <t>Encarregado de obras de artes especiais</t>
  </si>
  <si>
    <t>P9870</t>
  </si>
  <si>
    <t>Motorista de veículo leve</t>
  </si>
  <si>
    <t>P9871</t>
  </si>
  <si>
    <t>Motorista de veículo especial</t>
  </si>
  <si>
    <t>Técnico de segurança do trabalho</t>
  </si>
  <si>
    <t>P9880</t>
  </si>
  <si>
    <t>Piloto fluvial</t>
  </si>
  <si>
    <t>P9882</t>
  </si>
  <si>
    <t>Técnico especializado</t>
  </si>
  <si>
    <t>Encarregado de terraplenagem</t>
  </si>
  <si>
    <t>P9885</t>
  </si>
  <si>
    <t>Frentista de túnel</t>
  </si>
  <si>
    <t>P9889</t>
  </si>
  <si>
    <t>Técnico da qualidade</t>
  </si>
  <si>
    <t>P9891</t>
  </si>
  <si>
    <t>Engenheiro mecânico</t>
  </si>
  <si>
    <t>P9892</t>
  </si>
  <si>
    <t>Auxiliar de blaster</t>
  </si>
  <si>
    <t>Técnico de meio ambiente</t>
  </si>
  <si>
    <t>P9900</t>
  </si>
  <si>
    <t>Comprador</t>
  </si>
  <si>
    <t>Encarregado de superestrutura ferroviária</t>
  </si>
  <si>
    <t>P9907</t>
  </si>
  <si>
    <t>Comandante de longo curso</t>
  </si>
  <si>
    <t>P9908</t>
  </si>
  <si>
    <t>Imediato</t>
  </si>
  <si>
    <t>P9909</t>
  </si>
  <si>
    <t>Oficial de náutica</t>
  </si>
  <si>
    <t>P9910</t>
  </si>
  <si>
    <t>Oficial de máquinas</t>
  </si>
  <si>
    <t>P9911</t>
  </si>
  <si>
    <t>Condutor de máquinas</t>
  </si>
  <si>
    <t>P9912</t>
  </si>
  <si>
    <t>Capitão fluvial com periculosidade</t>
  </si>
  <si>
    <t>P9913</t>
  </si>
  <si>
    <t>Draguista</t>
  </si>
  <si>
    <t>P9915</t>
  </si>
  <si>
    <t>Maquinista</t>
  </si>
  <si>
    <t>Encarregado de conservação rodoviária</t>
  </si>
  <si>
    <t>P9920</t>
  </si>
  <si>
    <t>Mestre fluvial</t>
  </si>
  <si>
    <t>P9927</t>
  </si>
  <si>
    <t>Frentista de túnel com periculosidade</t>
  </si>
  <si>
    <t>P9928</t>
  </si>
  <si>
    <t>Servente com periculosidade</t>
  </si>
  <si>
    <t>P9929</t>
  </si>
  <si>
    <t>Bombeiro hidráulico com periculosidade</t>
  </si>
  <si>
    <t>P9930</t>
  </si>
  <si>
    <t>Eletricista com periculosidade</t>
  </si>
  <si>
    <t>P9932</t>
  </si>
  <si>
    <t>Operador de equipamento pesado com periculosidade</t>
  </si>
  <si>
    <t>P9934</t>
  </si>
  <si>
    <t>Motorista de veículo especial com periculosidade</t>
  </si>
  <si>
    <t>P9938</t>
  </si>
  <si>
    <t>Operador de equipamento leve com periculosidade</t>
  </si>
  <si>
    <t>P9939</t>
  </si>
  <si>
    <t>Operador de equipamento leve com insalubridade</t>
  </si>
  <si>
    <t>P9940</t>
  </si>
  <si>
    <t>Piloto fluvial com periculosidade</t>
  </si>
  <si>
    <t>P9941</t>
  </si>
  <si>
    <t>Mestre fluvial com periculosidade</t>
  </si>
  <si>
    <t>P9942</t>
  </si>
  <si>
    <t>Marinheiro de convés com periculosidade</t>
  </si>
  <si>
    <t>P9943</t>
  </si>
  <si>
    <t>Técnico de batimetria com periculosidade</t>
  </si>
  <si>
    <t>P9944</t>
  </si>
  <si>
    <t>Operador de equipamento especial com periculosidade</t>
  </si>
  <si>
    <t>P9945</t>
  </si>
  <si>
    <t>Draguista com periculosidade</t>
  </si>
  <si>
    <t>Técnico florestal</t>
  </si>
  <si>
    <t>Motorista de veículo leve - mensalista</t>
  </si>
  <si>
    <t>Médico de câmara hiperbárica</t>
  </si>
  <si>
    <t>Pedreiro - mensalista</t>
  </si>
  <si>
    <t>Eletricista - mensalista</t>
  </si>
  <si>
    <t>Servente - mensalista</t>
  </si>
  <si>
    <t>P9956</t>
  </si>
  <si>
    <t>Motorista de caminhão com periculosidade</t>
  </si>
  <si>
    <t>P9972</t>
  </si>
  <si>
    <t>Técnico de batimetria</t>
  </si>
  <si>
    <t>Quantidade de Mão de Obra Segurança do Trabalho</t>
  </si>
  <si>
    <t xml:space="preserve"> Gerência Administrativa</t>
  </si>
  <si>
    <t>Chefe setor de finanças</t>
  </si>
  <si>
    <t>CURVA ABC DE MAO DE OBRA</t>
  </si>
  <si>
    <t>IH9824</t>
  </si>
  <si>
    <t>SERVENTE</t>
  </si>
  <si>
    <t>IH9821</t>
  </si>
  <si>
    <t>PEDREIRO</t>
  </si>
  <si>
    <t>IH9801</t>
  </si>
  <si>
    <t>AJUDANTE</t>
  </si>
  <si>
    <t>IH9808</t>
  </si>
  <si>
    <t>CARPINTEIRO</t>
  </si>
  <si>
    <t>IH9805</t>
  </si>
  <si>
    <t>ARMADOR</t>
  </si>
  <si>
    <t>IH9830</t>
  </si>
  <si>
    <t>MONTADOR</t>
  </si>
  <si>
    <t>PINTOR</t>
  </si>
  <si>
    <t>IH9823</t>
  </si>
  <si>
    <t>SERRALHEIRO</t>
  </si>
  <si>
    <t>IH9853</t>
  </si>
  <si>
    <t>PRÉ-MARCADOR</t>
  </si>
  <si>
    <t>IH9822</t>
  </si>
  <si>
    <t>REGULARIZAÇÃO DO SUBLEITO</t>
  </si>
  <si>
    <t>4)           Equipes de laboratório de concreto para obras de artes correntes:</t>
  </si>
  <si>
    <t>4</t>
  </si>
  <si>
    <t>4.</t>
  </si>
  <si>
    <t>4.1.</t>
  </si>
  <si>
    <t>Parcela Variável</t>
  </si>
  <si>
    <t>PINTURA DE FAIXA COM TERMOPLÁSTICO POR ASPERSÃO - ESPESSURA DE 1,5 MM</t>
  </si>
  <si>
    <t>Sem desoneração</t>
  </si>
  <si>
    <t>Salário (R$)</t>
  </si>
  <si>
    <t>Encargos Totais</t>
  </si>
  <si>
    <t>Periculosidade/ Insalubridade</t>
  </si>
  <si>
    <t>PN001</t>
  </si>
  <si>
    <t>PN002</t>
  </si>
  <si>
    <t>PN003</t>
  </si>
  <si>
    <t>IMPRIMAÇÃO COM EMULSÃO ASFÁLTICA</t>
  </si>
  <si>
    <t>PN004</t>
  </si>
  <si>
    <t>PN005</t>
  </si>
  <si>
    <t>PN006</t>
  </si>
  <si>
    <t>PLACA DE ADVERTÊNCIA EM AÇO, LADO DE 0,80 M - PELÍCULA RETRORREFLETIVA TIPO I + SI - FORNECIMENTO E IMPLANTAÇÃO</t>
  </si>
  <si>
    <t>PLACA DE REGULAMENTAÇÃO EM AÇO D = 0,80 M - PELÍCULA RETRORREFLETIVA TIPO I + SI - FORNECIMENTO E IMPLANTAÇÃO</t>
  </si>
  <si>
    <t>SUPORTE METÁLICO GALVANIZADO PARA PLACA DE ADVERTÊNCIA OU REGULAMENTAÇÃO - LADO OU DIÂMETRO DE 0,80 M - FORNECIMENTO E IMPLANTAÇÃO</t>
  </si>
  <si>
    <t>REMOÇÃO MECANIZADA DE REVESTIMENTO ASFÁLTICO</t>
  </si>
  <si>
    <t>REMOÇÃO DE PLACA DE SINALIZAÇÃO</t>
  </si>
  <si>
    <t>DEMOLIÇÃO DE CONCRETO SIMPLES</t>
  </si>
  <si>
    <t>PRODUÇÃO</t>
  </si>
  <si>
    <t>HORAS TRABALHADAS</t>
  </si>
  <si>
    <t>DIAS DO MÊS</t>
  </si>
  <si>
    <t>2)           Equipes acompanhamento de frente de serviço para pavimentação:</t>
  </si>
  <si>
    <t>2.4</t>
  </si>
  <si>
    <t>2.5</t>
  </si>
  <si>
    <t>3)  Equipes de acompanhamento frente de serviço para drenagem:</t>
  </si>
  <si>
    <t>4)  Equipes de Frente de Serviço para Obra de Artes Correntes:</t>
  </si>
  <si>
    <t>5)  Equipes de Frente de Serviço para Sinalização:</t>
  </si>
  <si>
    <t>5.3</t>
  </si>
  <si>
    <t>5.4</t>
  </si>
  <si>
    <t>5.5</t>
  </si>
  <si>
    <t>5.6</t>
  </si>
  <si>
    <t>5.7</t>
  </si>
  <si>
    <t>.</t>
  </si>
  <si>
    <t>MÃO DE OBRA ORDINÁRIA (MÊS):</t>
  </si>
  <si>
    <t>MÃO DE OBRA PARCELA FIXA (MÊS):</t>
  </si>
  <si>
    <t>MÃO DE OBRA PARCELA VINCULADA (MÊS):</t>
  </si>
  <si>
    <t>MÃO DE OBRA PARCELA VARIÁVEL (MÊS):</t>
  </si>
  <si>
    <t>TOTAL DE MÃO DE OBRA (MÊS):</t>
  </si>
  <si>
    <t>ENGENHEIRO SUPERVISOR</t>
  </si>
  <si>
    <t>MÊS</t>
  </si>
  <si>
    <t>ENCARREGADO GERAL</t>
  </si>
  <si>
    <t>TÉCNICO DE MEIO AMBIENTE</t>
  </si>
  <si>
    <t>SECRETÁRIA</t>
  </si>
  <si>
    <t>ENGENHEIRO AUXILIAR</t>
  </si>
  <si>
    <t>AUXILIAR TÉCNICO</t>
  </si>
  <si>
    <t>CHEFE DO SETOR ADMINISTRATIVO</t>
  </si>
  <si>
    <t>VIGIA</t>
  </si>
  <si>
    <t>AUXILIAR ADMINISTRATIVO</t>
  </si>
  <si>
    <t>FAXINEIRO</t>
  </si>
  <si>
    <t>Veículo leve - 53 kW (sem motorista)</t>
  </si>
  <si>
    <t>ENCARREGADO DE TERRAPLENAGEM</t>
  </si>
  <si>
    <t>ENCARREGADO DE PAVIMENTAÇÃO</t>
  </si>
  <si>
    <t>TOPÓGRAFO</t>
  </si>
  <si>
    <t>AUXILIAR DE TOPOGRAFIA</t>
  </si>
  <si>
    <t>TÉCNICO DE SEGURANÇA DO TRABALHO</t>
  </si>
  <si>
    <t>ENCARREGADO DE TURMA</t>
  </si>
  <si>
    <t>APONTADOR</t>
  </si>
  <si>
    <t>LABORATORISTA</t>
  </si>
  <si>
    <t>AUXILIAR DE LABORATÓRIO</t>
  </si>
  <si>
    <t>Van furgão - 93 kW</t>
  </si>
  <si>
    <t>PEDREIRO - MENSALISTA</t>
  </si>
  <si>
    <t>SERVENTE - MENSALISTA</t>
  </si>
  <si>
    <t>ELETRICISTA - MENSALISTA</t>
  </si>
  <si>
    <t>Caminhão carroceria com guindauto com capacidade de 20 t.m - 136 kW</t>
  </si>
  <si>
    <t>Caminhão tanque com capacidade de 8.000 l - 136 kW</t>
  </si>
  <si>
    <t>Motoniveladora - 93 kW</t>
  </si>
  <si>
    <t>BASE OU SUB-BASE DE MACADAME SECO COM BRITA COMERCIAL</t>
  </si>
  <si>
    <t>REMOÇÃO MECANIZADA DE CAMADA GRANULAR DO PAVIMENTO</t>
  </si>
  <si>
    <t>AQUISIÇÃO E TRANSPORTE DE EMULSÃO ASFÁLTICA PARA IMPRIMAÇÃO - EAI</t>
  </si>
  <si>
    <t>MEIO-FIO DE CONCRETO - MFC 05 - AREIA E BRITA COMERCIAIS - FÔRMA DE MADEIRA</t>
  </si>
  <si>
    <t>ENROCAMENTO DE PEDRA ARRUMADA MANUALMENTE - PEDRA DE MÃO COMERCIAL - FORNECIMENTO E ASSENTAMENTO</t>
  </si>
  <si>
    <t>2.6</t>
  </si>
  <si>
    <t>2.7</t>
  </si>
  <si>
    <t>2.8</t>
  </si>
  <si>
    <t>4011479</t>
  </si>
  <si>
    <t>FRESAGEM CONTÍNUA DE REVESTIMENTO ASFÁLTICO</t>
  </si>
  <si>
    <t>4915667</t>
  </si>
  <si>
    <t>4915669</t>
  </si>
  <si>
    <t>4805751</t>
  </si>
  <si>
    <t>ESCAVAÇÃO MANUAL EM MATERIAL DE 1ª CATEGORIA NA PROFUNDIDADE DE 1 A 2 M</t>
  </si>
  <si>
    <t>4011209</t>
  </si>
  <si>
    <t>4011279</t>
  </si>
  <si>
    <t>4011276</t>
  </si>
  <si>
    <t>BASE OU SUB-BASE DE BRITA GRADUADA COM BRITA COMERCIAL</t>
  </si>
  <si>
    <t>4011352</t>
  </si>
  <si>
    <t>4011353</t>
  </si>
  <si>
    <t>4011471</t>
  </si>
  <si>
    <t>CONCRETO ASFÁLTICO COM BORRACHA - FAIXA C - BRITA COMERCIAL</t>
  </si>
  <si>
    <t>AQUISIÇÃO E TRANSPORTE DE EMULSÃO ASFÁLTICA - RR-2C</t>
  </si>
  <si>
    <t>AQUISIÇÃO E TRANSPORTE DE CAP AB-8</t>
  </si>
  <si>
    <t>3108007</t>
  </si>
  <si>
    <t>DRENAGEM</t>
  </si>
  <si>
    <t>0407819</t>
  </si>
  <si>
    <t>FÔRMAS DE COMPENSADO PLASTIFICADO 10 MM - USO GERAL - UTILIZAÇÃO DE 1 VEZ - CONFECÇÃO, INSTALAÇÃO E RETIRADA</t>
  </si>
  <si>
    <t>1107888</t>
  </si>
  <si>
    <t>ARMAÇÃO EM AÇO CA-50 - FORNECIMENTO, PREPARO E COLOCAÇÃO</t>
  </si>
  <si>
    <t>KG</t>
  </si>
  <si>
    <t>1505879</t>
  </si>
  <si>
    <t>CONCRETO FCK = 15 MPA - CONFECÇÃO EM BETONEIRA E LANÇAMENTO MANUAL - AREIA E BRITA COMERCIAIS</t>
  </si>
  <si>
    <t>3205864</t>
  </si>
  <si>
    <t>2003377</t>
  </si>
  <si>
    <t>GABIÃO CAIXA 2 X 1 X 0,50 M - ZN/AL + PVC - D = 2,4 MM - PEDRA DE MÃO COMERCIAL - FORNECIMENTO E ASSENTAMENTO</t>
  </si>
  <si>
    <t>2003319</t>
  </si>
  <si>
    <t>2003620</t>
  </si>
  <si>
    <t>SARJETA TRIANGULAR DE CONCRETO - STC 01 - ESCAVAÇÃO MECÂNICA - AREIA E BRITA COMERCIAIS</t>
  </si>
  <si>
    <t>2003357</t>
  </si>
  <si>
    <t>BOCA DE LOBO SIMPLES - BLS 02 - AREIA E BRITA COMERCIAIS</t>
  </si>
  <si>
    <t>0804061</t>
  </si>
  <si>
    <t>TRANSPOSIÇÃO DE SEGMENTOS DE SARJETA - TSS 01 - AREIA E BRITA COMERCIAIS</t>
  </si>
  <si>
    <t>0804015</t>
  </si>
  <si>
    <t>BOCA DE BSTC D = 0,40 M - ESCONSIDADE 0° - AREIA E BRITA COMERCIAIS - ALAS RETAS</t>
  </si>
  <si>
    <t>2003441</t>
  </si>
  <si>
    <t>CORPO DE BSTC D = 0,40 M PA2 - AREIA, BRITA E PEDRA DE MÃO COMERCIAIS</t>
  </si>
  <si>
    <t>2003451</t>
  </si>
  <si>
    <t>DISSIPADOR DE ENERGIA - DES 01 - AREIA E PEDRA DE MÃO COMERCIAIS</t>
  </si>
  <si>
    <t>2003407</t>
  </si>
  <si>
    <t>DISSIPADOR DE ENERGIA - DEB 02 - AREIA, BRITA E PEDRA DE MÃO COMERCIAIS</t>
  </si>
  <si>
    <t>2003611</t>
  </si>
  <si>
    <t>DESCIDA D'ÁGUA DE ATERROS EM DEGRAUS - DAD 02 - AREIA E BRITA COMERCIAIS</t>
  </si>
  <si>
    <t>2003613</t>
  </si>
  <si>
    <t>DRENO SUBSUPERFICIAL - DSS 04 - TUBO PEAD E BRITA COMERCIAL</t>
  </si>
  <si>
    <t>4805757</t>
  </si>
  <si>
    <t>BOCA DE SAÍDA PARA DRENO SUB-SUPERFICIAL - BSD 03 - AREIA E BRITA COMERCIAIS</t>
  </si>
  <si>
    <t>4815671</t>
  </si>
  <si>
    <t>4805755</t>
  </si>
  <si>
    <t>REATERRO E COMPACTAÇÃO COM SOQUETE VIBRATÓRIO</t>
  </si>
  <si>
    <t>1600436</t>
  </si>
  <si>
    <t>APILOAMENTO MANUAL</t>
  </si>
  <si>
    <t>5213408</t>
  </si>
  <si>
    <t>5214000</t>
  </si>
  <si>
    <t>5219608</t>
  </si>
  <si>
    <t>TERMOPLÁSTICO PRÉ-FORMADO PARA SINALIZAÇÃO HORIZONTAL - ESPESSURA DE 2 MM - FORNECIMENTO E IMPLANTAÇÃO</t>
  </si>
  <si>
    <t>5213362</t>
  </si>
  <si>
    <t>TACHA REFLETIVA EM PLÁSTICO INJETADO - BIDIRECIONAL TIPO III - COM UM PINO - FORNECIMENTO E COLOCAÇÃO</t>
  </si>
  <si>
    <t>5213441</t>
  </si>
  <si>
    <t>TACHÃO REFLETIVO EM PLÁSTICO INJETADO - BIDIRECIONAL - FORNECIMENTO E COLOCAÇÃO</t>
  </si>
  <si>
    <t>5213465</t>
  </si>
  <si>
    <t>5213864</t>
  </si>
  <si>
    <t>5213472</t>
  </si>
  <si>
    <t>PLACA DE MARCO QUILOMÉTRICO EM AÇO - 0,60 X 0,865 M - PELÍCULA RETRORREFLETIVA TIPO I + I - FORNECIMENTO E IMPLANTAÇÃO</t>
  </si>
  <si>
    <t>5213364</t>
  </si>
  <si>
    <t>2.9</t>
  </si>
  <si>
    <t>P9921</t>
  </si>
  <si>
    <t>Mergulhador raso autônomo de emergência</t>
  </si>
  <si>
    <t>P9922</t>
  </si>
  <si>
    <t>Mergulhador raso dependente de emergência</t>
  </si>
  <si>
    <t>P9924</t>
  </si>
  <si>
    <t>Mergulhador raso dependente</t>
  </si>
  <si>
    <t>P9925</t>
  </si>
  <si>
    <t>Mergulhador raso autônomo</t>
  </si>
  <si>
    <t>P9926</t>
  </si>
  <si>
    <t>Mergulhador raso auxiliar de superfície</t>
  </si>
  <si>
    <t>P9931</t>
  </si>
  <si>
    <t>Operador de equipamento de mergulho</t>
  </si>
  <si>
    <t>P9933</t>
  </si>
  <si>
    <t>Supervisor de mergulho raso</t>
  </si>
  <si>
    <t>FRESAGEM DESCONTÍNUA DE REVESTIMENTO ASFÁLTICO</t>
  </si>
  <si>
    <t>MICRORRESVESTIMENTO A FRIO COM EMULSÃO MODIFICADA</t>
  </si>
  <si>
    <t>3.4</t>
  </si>
  <si>
    <t>2.3</t>
  </si>
  <si>
    <t>5.8</t>
  </si>
  <si>
    <t>5.9</t>
  </si>
  <si>
    <t>5.10</t>
  </si>
  <si>
    <t>c/BDI=21,33%</t>
  </si>
  <si>
    <t>Santa Catarina - OUTUBRO/2023</t>
  </si>
  <si>
    <t>Total Administração Local (OUTUBRO/23):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</si>
</sst>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43" formatCode="_-* #,##0.00_-;\-* #,##0.00_-;_-* &quot;-&quot;??_-;_-@_-"/>
    <numFmt numFmtId="164" formatCode="0.000"/>
    <numFmt numFmtId="165" formatCode="_-* #,##0.00_-;\-* #,##0.00_-;_-* &quot;-&quot;?????_-;_-@_-"/>
    <numFmt numFmtId="166" formatCode="_-* #,##0.00000_-;\-* #,##0.00000_-;_-* &quot;-&quot;?????_-;_-@_-"/>
    <numFmt numFmtId="167" formatCode="_-* #,##0.000_-;\-* #,##0.000_-;_-* &quot;-&quot;???_-;_-@_-"/>
    <numFmt numFmtId="168" formatCode="_-* #,##0.00_-;\-* #,##0.00_-;_-* &quot;-&quot;???_-;_-@_-"/>
    <numFmt numFmtId="169" formatCode="_-* #,##0.00000_-;\-* #,##0.00000_-;_-* &quot;-&quot;??_-;_-@_-"/>
    <numFmt numFmtId="170" formatCode="_-* #,##0.000_-;\-* #,##0.000_-;_-* &quot;-&quot;?????_-;_-@_-"/>
    <numFmt numFmtId="171" formatCode="_-* #,##0.000_-;\-* #,##0.000_-;_-* &quot;-&quot;??_-;_-@_-"/>
    <numFmt numFmtId="172" formatCode="#,##0.00_ ;\-#,##0.00\ "/>
    <numFmt numFmtId="173" formatCode="0.0000"/>
    <numFmt numFmtId="174" formatCode="0.0000%"/>
    <numFmt numFmtId="175" formatCode="#,##0.0000"/>
    <numFmt numFmtId="176" formatCode="#,##0.000;\-#,##0.000;"/>
  </numFmts>
  <fonts count="7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Arial"/>
      <family val="2"/>
    </font>
    <font>
      <b/>
      <sz val="9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sz val="9"/>
      <name val="Arial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sz val="7"/>
      <name val="Arial"/>
      <family val="2"/>
    </font>
    <font>
      <b/>
      <sz val="9"/>
      <color rgb="FFFFFFFF"/>
      <name val="Arial"/>
      <family val="2"/>
    </font>
    <font>
      <b/>
      <sz val="12"/>
      <color rgb="FFFFFFFF"/>
      <name val="Arial"/>
      <family val="2"/>
    </font>
    <font>
      <b/>
      <vertAlign val="subscript"/>
      <sz val="12"/>
      <color rgb="FFFFFFFF"/>
      <name val="Arial"/>
      <family val="2"/>
    </font>
    <font>
      <sz val="9"/>
      <color rgb="FF000000"/>
      <name val="Arial"/>
      <family val="2"/>
    </font>
    <font>
      <b/>
      <sz val="9"/>
      <color indexed="81"/>
      <name val="Segoe UI"/>
      <family val="2"/>
    </font>
    <font>
      <sz val="9"/>
      <color indexed="81"/>
      <name val="Segoe UI"/>
      <family val="2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b/>
      <sz val="9"/>
      <color rgb="FF000000"/>
      <name val="Arial"/>
      <family val="2"/>
    </font>
    <font>
      <vertAlign val="superscript"/>
      <sz val="9"/>
      <color rgb="FF000000"/>
      <name val="Arial"/>
      <family val="2"/>
    </font>
    <font>
      <sz val="12"/>
      <color rgb="FF000000"/>
      <name val="Arial"/>
      <family val="2"/>
    </font>
    <font>
      <b/>
      <sz val="11"/>
      <color theme="0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sz val="11"/>
      <color rgb="FF000000"/>
      <name val="Arial"/>
      <family val="2"/>
    </font>
    <font>
      <vertAlign val="subscript"/>
      <sz val="11"/>
      <color rgb="FF000000"/>
      <name val="Arial"/>
      <family val="2"/>
    </font>
    <font>
      <vertAlign val="superscript"/>
      <sz val="11"/>
      <color rgb="FF000000"/>
      <name val="Arial"/>
      <family val="2"/>
    </font>
    <font>
      <sz val="11"/>
      <color rgb="FFFF0000"/>
      <name val="Arial"/>
      <family val="2"/>
    </font>
    <font>
      <b/>
      <sz val="11"/>
      <color rgb="FFFF0000"/>
      <name val="Arial"/>
      <family val="2"/>
    </font>
    <font>
      <b/>
      <sz val="11"/>
      <color theme="0" tint="-0.249977111117893"/>
      <name val="Arial"/>
      <family val="2"/>
    </font>
    <font>
      <sz val="11"/>
      <color theme="0" tint="-0.249977111117893"/>
      <name val="Arial"/>
      <family val="2"/>
    </font>
    <font>
      <b/>
      <sz val="14"/>
      <color rgb="FFFF0000"/>
      <name val="Arial"/>
      <family val="2"/>
    </font>
    <font>
      <sz val="11"/>
      <color theme="0" tint="-0.14999847407452621"/>
      <name val="Arial"/>
      <family val="2"/>
    </font>
    <font>
      <b/>
      <sz val="7"/>
      <color theme="1"/>
      <name val="Arial"/>
      <family val="2"/>
    </font>
    <font>
      <sz val="12"/>
      <color rgb="FF2F2F2F"/>
      <name val="Arial"/>
      <family val="2"/>
    </font>
    <font>
      <b/>
      <vertAlign val="subscript"/>
      <sz val="11"/>
      <name val="Arial"/>
      <family val="2"/>
    </font>
    <font>
      <b/>
      <sz val="9"/>
      <color theme="0"/>
      <name val="Arial"/>
      <family val="2"/>
    </font>
    <font>
      <b/>
      <sz val="12"/>
      <name val="Arial"/>
      <family val="2"/>
    </font>
    <font>
      <b/>
      <sz val="14"/>
      <name val="Arial"/>
      <family val="2"/>
    </font>
    <font>
      <b/>
      <sz val="16"/>
      <name val="Arial"/>
      <family val="2"/>
    </font>
    <font>
      <b/>
      <sz val="15"/>
      <color rgb="FFFF0000"/>
      <name val="Arial"/>
      <family val="2"/>
    </font>
    <font>
      <u/>
      <sz val="11"/>
      <color theme="1"/>
      <name val="Arial"/>
      <family val="2"/>
    </font>
    <font>
      <sz val="9"/>
      <color rgb="FFFF000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8"/>
      <name val="Calibri"/>
      <family val="2"/>
      <scheme val="minor"/>
    </font>
    <font>
      <sz val="10"/>
      <color rgb="FF000000"/>
      <name val="Times New Roman"/>
      <family val="1"/>
    </font>
    <font>
      <i/>
      <sz val="10"/>
      <name val="Arial"/>
      <family val="2"/>
    </font>
    <font>
      <i/>
      <sz val="10"/>
      <color rgb="FF001F5F"/>
      <name val="Arial"/>
      <family val="2"/>
    </font>
    <font>
      <sz val="9.5"/>
      <name val="Arial Black"/>
      <family val="2"/>
    </font>
    <font>
      <sz val="9.5"/>
      <color rgb="FF003366"/>
      <name val="Arial Black"/>
      <family val="2"/>
    </font>
    <font>
      <b/>
      <sz val="18"/>
      <color indexed="8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0"/>
      <color theme="1"/>
      <name val="Calibri"/>
      <family val="2"/>
      <scheme val="minor"/>
    </font>
    <font>
      <b/>
      <sz val="8"/>
      <color indexed="8"/>
      <name val="Arial"/>
      <family val="2"/>
    </font>
    <font>
      <b/>
      <sz val="7"/>
      <color indexed="8"/>
      <name val="Arial"/>
      <family val="2"/>
    </font>
    <font>
      <sz val="7"/>
      <color indexed="8"/>
      <name val="Arial"/>
      <family val="2"/>
    </font>
  </fonts>
  <fills count="4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003BD1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0000FF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0000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57">
    <xf numFmtId="0" fontId="0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23" applyNumberFormat="0" applyFill="0" applyAlignment="0" applyProtection="0"/>
    <xf numFmtId="0" fontId="19" fillId="0" borderId="24" applyNumberFormat="0" applyFill="0" applyAlignment="0" applyProtection="0"/>
    <xf numFmtId="0" fontId="20" fillId="0" borderId="25" applyNumberFormat="0" applyFill="0" applyAlignment="0" applyProtection="0"/>
    <xf numFmtId="0" fontId="20" fillId="0" borderId="0" applyNumberFormat="0" applyFill="0" applyBorder="0" applyAlignment="0" applyProtection="0"/>
    <xf numFmtId="0" fontId="21" fillId="3" borderId="0" applyNumberFormat="0" applyBorder="0" applyAlignment="0" applyProtection="0"/>
    <xf numFmtId="0" fontId="22" fillId="4" borderId="0" applyNumberFormat="0" applyBorder="0" applyAlignment="0" applyProtection="0"/>
    <xf numFmtId="0" fontId="23" fillId="5" borderId="0" applyNumberFormat="0" applyBorder="0" applyAlignment="0" applyProtection="0"/>
    <xf numFmtId="0" fontId="24" fillId="6" borderId="26" applyNumberFormat="0" applyAlignment="0" applyProtection="0"/>
    <xf numFmtId="0" fontId="25" fillId="7" borderId="27" applyNumberFormat="0" applyAlignment="0" applyProtection="0"/>
    <xf numFmtId="0" fontId="26" fillId="7" borderId="26" applyNumberFormat="0" applyAlignment="0" applyProtection="0"/>
    <xf numFmtId="0" fontId="27" fillId="0" borderId="28" applyNumberFormat="0" applyFill="0" applyAlignment="0" applyProtection="0"/>
    <xf numFmtId="0" fontId="28" fillId="8" borderId="29" applyNumberFormat="0" applyAlignment="0" applyProtection="0"/>
    <xf numFmtId="0" fontId="29" fillId="0" borderId="0" applyNumberFormat="0" applyFill="0" applyBorder="0" applyAlignment="0" applyProtection="0"/>
    <xf numFmtId="0" fontId="1" fillId="9" borderId="30" applyNumberFormat="0" applyFont="0" applyAlignment="0" applyProtection="0"/>
    <xf numFmtId="0" fontId="30" fillId="0" borderId="0" applyNumberFormat="0" applyFill="0" applyBorder="0" applyAlignment="0" applyProtection="0"/>
    <xf numFmtId="0" fontId="2" fillId="0" borderId="31" applyNumberFormat="0" applyFill="0" applyAlignment="0" applyProtection="0"/>
    <xf numFmtId="0" fontId="3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31" fillId="13" borderId="0" applyNumberFormat="0" applyBorder="0" applyAlignment="0" applyProtection="0"/>
    <xf numFmtId="0" fontId="3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31" fillId="17" borderId="0" applyNumberFormat="0" applyBorder="0" applyAlignment="0" applyProtection="0"/>
    <xf numFmtId="0" fontId="3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31" fillId="21" borderId="0" applyNumberFormat="0" applyBorder="0" applyAlignment="0" applyProtection="0"/>
    <xf numFmtId="0" fontId="3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31" fillId="25" borderId="0" applyNumberFormat="0" applyBorder="0" applyAlignment="0" applyProtection="0"/>
    <xf numFmtId="0" fontId="3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31" fillId="29" borderId="0" applyNumberFormat="0" applyBorder="0" applyAlignment="0" applyProtection="0"/>
    <xf numFmtId="0" fontId="3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31" fillId="33" borderId="0" applyNumberFormat="0" applyBorder="0" applyAlignment="0" applyProtection="0"/>
    <xf numFmtId="0" fontId="1" fillId="0" borderId="0"/>
    <xf numFmtId="0" fontId="32" fillId="0" borderId="0"/>
    <xf numFmtId="9" fontId="32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32" fillId="0" borderId="0"/>
    <xf numFmtId="43" fontId="1" fillId="0" borderId="0" applyFont="0" applyFill="0" applyBorder="0" applyAlignment="0" applyProtection="0"/>
    <xf numFmtId="0" fontId="1" fillId="0" borderId="0"/>
    <xf numFmtId="0" fontId="61" fillId="0" borderId="0"/>
    <xf numFmtId="0" fontId="69" fillId="0" borderId="0"/>
    <xf numFmtId="0" fontId="32" fillId="0" borderId="0"/>
  </cellStyleXfs>
  <cellXfs count="564">
    <xf numFmtId="0" fontId="0" fillId="0" borderId="0" xfId="0"/>
    <xf numFmtId="0" fontId="3" fillId="0" borderId="0" xfId="0" applyFont="1" applyAlignment="1">
      <alignment horizontal="justify" vertical="center"/>
    </xf>
    <xf numFmtId="0" fontId="14" fillId="0" borderId="9" xfId="0" applyFont="1" applyBorder="1" applyAlignment="1">
      <alignment horizontal="center" vertical="center" wrapText="1"/>
    </xf>
    <xf numFmtId="49" fontId="7" fillId="2" borderId="14" xfId="0" applyNumberFormat="1" applyFont="1" applyFill="1" applyBorder="1" applyAlignment="1">
      <alignment horizontal="center" vertical="center" wrapText="1"/>
    </xf>
    <xf numFmtId="0" fontId="7" fillId="2" borderId="14" xfId="0" applyFont="1" applyFill="1" applyBorder="1" applyAlignment="1">
      <alignment vertical="center"/>
    </xf>
    <xf numFmtId="165" fontId="7" fillId="2" borderId="14" xfId="0" applyNumberFormat="1" applyFont="1" applyFill="1" applyBorder="1" applyAlignment="1">
      <alignment horizontal="center" vertical="center" wrapText="1"/>
    </xf>
    <xf numFmtId="0" fontId="14" fillId="0" borderId="18" xfId="0" applyFont="1" applyBorder="1" applyAlignment="1">
      <alignment horizontal="center" vertical="center" wrapText="1"/>
    </xf>
    <xf numFmtId="49" fontId="4" fillId="2" borderId="14" xfId="0" applyNumberFormat="1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left" vertical="center" wrapText="1"/>
    </xf>
    <xf numFmtId="165" fontId="7" fillId="2" borderId="14" xfId="0" applyNumberFormat="1" applyFont="1" applyFill="1" applyBorder="1" applyAlignment="1">
      <alignment horizontal="center" vertical="center"/>
    </xf>
    <xf numFmtId="165" fontId="4" fillId="2" borderId="14" xfId="0" applyNumberFormat="1" applyFont="1" applyFill="1" applyBorder="1" applyAlignment="1">
      <alignment vertical="center"/>
    </xf>
    <xf numFmtId="0" fontId="7" fillId="2" borderId="14" xfId="0" applyFont="1" applyFill="1" applyBorder="1" applyAlignment="1">
      <alignment horizontal="left" vertical="center" wrapText="1"/>
    </xf>
    <xf numFmtId="165" fontId="7" fillId="2" borderId="14" xfId="0" applyNumberFormat="1" applyFont="1" applyFill="1" applyBorder="1" applyAlignment="1">
      <alignment vertical="center"/>
    </xf>
    <xf numFmtId="49" fontId="7" fillId="2" borderId="11" xfId="0" applyNumberFormat="1" applyFont="1" applyFill="1" applyBorder="1" applyAlignment="1">
      <alignment horizontal="center" vertical="center" wrapText="1"/>
    </xf>
    <xf numFmtId="165" fontId="7" fillId="2" borderId="11" xfId="0" applyNumberFormat="1" applyFont="1" applyFill="1" applyBorder="1" applyAlignment="1">
      <alignment horizontal="center" vertical="center" wrapText="1"/>
    </xf>
    <xf numFmtId="0" fontId="8" fillId="2" borderId="14" xfId="0" applyFont="1" applyFill="1" applyBorder="1" applyAlignment="1">
      <alignment horizontal="center" vertical="center"/>
    </xf>
    <xf numFmtId="0" fontId="9" fillId="2" borderId="15" xfId="0" applyFont="1" applyFill="1" applyBorder="1" applyAlignment="1">
      <alignment vertical="center"/>
    </xf>
    <xf numFmtId="0" fontId="8" fillId="2" borderId="17" xfId="0" applyFont="1" applyFill="1" applyBorder="1" applyAlignment="1">
      <alignment horizontal="right" vertical="center"/>
    </xf>
    <xf numFmtId="0" fontId="9" fillId="2" borderId="0" xfId="0" applyFont="1" applyFill="1" applyAlignment="1">
      <alignment vertical="center"/>
    </xf>
    <xf numFmtId="0" fontId="6" fillId="0" borderId="9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justify" vertical="center" wrapText="1"/>
    </xf>
    <xf numFmtId="0" fontId="14" fillId="0" borderId="8" xfId="0" applyFont="1" applyBorder="1" applyAlignment="1">
      <alignment horizontal="center" vertical="center" wrapText="1"/>
    </xf>
    <xf numFmtId="0" fontId="11" fillId="34" borderId="8" xfId="0" applyFont="1" applyFill="1" applyBorder="1" applyAlignment="1">
      <alignment horizontal="center" vertical="center" wrapText="1"/>
    </xf>
    <xf numFmtId="0" fontId="33" fillId="0" borderId="0" xfId="0" applyFont="1" applyAlignment="1">
      <alignment horizontal="left" vertical="center"/>
    </xf>
    <xf numFmtId="0" fontId="5" fillId="0" borderId="9" xfId="0" applyFont="1" applyBorder="1" applyAlignment="1">
      <alignment horizontal="left" vertical="center"/>
    </xf>
    <xf numFmtId="0" fontId="6" fillId="0" borderId="9" xfId="0" applyFont="1" applyBorder="1" applyAlignment="1">
      <alignment horizontal="left" vertical="center"/>
    </xf>
    <xf numFmtId="0" fontId="6" fillId="0" borderId="9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14" fillId="0" borderId="9" xfId="0" applyFont="1" applyBorder="1" applyAlignment="1">
      <alignment horizontal="left" vertical="center"/>
    </xf>
    <xf numFmtId="0" fontId="14" fillId="0" borderId="9" xfId="0" applyFont="1" applyBorder="1" applyAlignment="1">
      <alignment horizontal="center" vertical="center"/>
    </xf>
    <xf numFmtId="0" fontId="14" fillId="0" borderId="8" xfId="0" applyFont="1" applyBorder="1" applyAlignment="1">
      <alignment horizontal="center" vertical="center"/>
    </xf>
    <xf numFmtId="0" fontId="35" fillId="0" borderId="0" xfId="0" applyFont="1" applyAlignment="1">
      <alignment horizontal="justify" vertical="center"/>
    </xf>
    <xf numFmtId="0" fontId="5" fillId="0" borderId="9" xfId="0" applyFont="1" applyBorder="1" applyAlignment="1">
      <alignment horizontal="justify" vertical="center"/>
    </xf>
    <xf numFmtId="4" fontId="7" fillId="2" borderId="14" xfId="0" applyNumberFormat="1" applyFont="1" applyFill="1" applyBorder="1" applyAlignment="1">
      <alignment horizontal="left" vertical="center" wrapText="1"/>
    </xf>
    <xf numFmtId="0" fontId="6" fillId="0" borderId="1" xfId="0" applyFont="1" applyBorder="1" applyAlignment="1">
      <alignment horizontal="justify" vertical="center"/>
    </xf>
    <xf numFmtId="0" fontId="6" fillId="0" borderId="2" xfId="0" applyFont="1" applyBorder="1" applyAlignment="1">
      <alignment horizontal="justify" vertical="center"/>
    </xf>
    <xf numFmtId="0" fontId="14" fillId="0" borderId="1" xfId="0" applyFont="1" applyBorder="1" applyAlignment="1">
      <alignment horizontal="left" vertical="center" wrapText="1"/>
    </xf>
    <xf numFmtId="0" fontId="14" fillId="0" borderId="2" xfId="0" applyFont="1" applyBorder="1" applyAlignment="1">
      <alignment horizontal="left" vertical="center" wrapText="1"/>
    </xf>
    <xf numFmtId="0" fontId="14" fillId="0" borderId="8" xfId="0" applyFont="1" applyBorder="1" applyAlignment="1">
      <alignment horizontal="left" vertical="center" wrapText="1"/>
    </xf>
    <xf numFmtId="0" fontId="6" fillId="0" borderId="8" xfId="0" applyFont="1" applyBorder="1" applyAlignment="1">
      <alignment horizontal="left" vertical="center"/>
    </xf>
    <xf numFmtId="0" fontId="5" fillId="0" borderId="8" xfId="0" applyFont="1" applyBorder="1" applyAlignment="1">
      <alignment horizontal="left" vertical="center"/>
    </xf>
    <xf numFmtId="0" fontId="5" fillId="0" borderId="1" xfId="0" applyFont="1" applyBorder="1" applyAlignment="1">
      <alignment vertical="center"/>
    </xf>
    <xf numFmtId="0" fontId="5" fillId="0" borderId="2" xfId="0" applyFont="1" applyBorder="1" applyAlignment="1">
      <alignment vertical="center"/>
    </xf>
    <xf numFmtId="0" fontId="5" fillId="0" borderId="7" xfId="0" applyFont="1" applyBorder="1" applyAlignment="1">
      <alignment vertical="center" wrapText="1"/>
    </xf>
    <xf numFmtId="0" fontId="5" fillId="0" borderId="8" xfId="0" applyFont="1" applyBorder="1" applyAlignment="1">
      <alignment vertical="center" wrapText="1"/>
    </xf>
    <xf numFmtId="0" fontId="5" fillId="0" borderId="8" xfId="0" applyFont="1" applyBorder="1" applyAlignment="1">
      <alignment horizontal="justify" vertical="center"/>
    </xf>
    <xf numFmtId="0" fontId="33" fillId="0" borderId="1" xfId="0" applyFont="1" applyBorder="1" applyAlignment="1">
      <alignment vertical="center" wrapText="1"/>
    </xf>
    <xf numFmtId="0" fontId="33" fillId="0" borderId="2" xfId="0" applyFont="1" applyBorder="1" applyAlignment="1">
      <alignment vertical="center" wrapText="1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14" fillId="2" borderId="9" xfId="0" applyFont="1" applyFill="1" applyBorder="1" applyAlignment="1">
      <alignment horizontal="left" vertical="center"/>
    </xf>
    <xf numFmtId="0" fontId="4" fillId="2" borderId="15" xfId="0" applyFont="1" applyFill="1" applyBorder="1" applyAlignment="1">
      <alignment horizontal="left" vertical="center" wrapText="1"/>
    </xf>
    <xf numFmtId="168" fontId="36" fillId="35" borderId="17" xfId="0" applyNumberFormat="1" applyFont="1" applyFill="1" applyBorder="1" applyAlignment="1">
      <alignment vertical="center"/>
    </xf>
    <xf numFmtId="0" fontId="9" fillId="2" borderId="0" xfId="0" applyFont="1" applyFill="1"/>
    <xf numFmtId="43" fontId="9" fillId="2" borderId="0" xfId="0" applyNumberFormat="1" applyFont="1" applyFill="1"/>
    <xf numFmtId="4" fontId="9" fillId="2" borderId="0" xfId="0" applyNumberFormat="1" applyFont="1" applyFill="1"/>
    <xf numFmtId="0" fontId="37" fillId="2" borderId="14" xfId="0" applyFont="1" applyFill="1" applyBorder="1" applyAlignment="1">
      <alignment vertical="center"/>
    </xf>
    <xf numFmtId="0" fontId="37" fillId="2" borderId="14" xfId="0" applyFont="1" applyFill="1" applyBorder="1" applyAlignment="1">
      <alignment horizontal="center" vertical="center"/>
    </xf>
    <xf numFmtId="4" fontId="37" fillId="2" borderId="14" xfId="0" applyNumberFormat="1" applyFont="1" applyFill="1" applyBorder="1" applyAlignment="1">
      <alignment horizontal="center" vertical="center" wrapText="1"/>
    </xf>
    <xf numFmtId="4" fontId="37" fillId="2" borderId="14" xfId="0" applyNumberFormat="1" applyFont="1" applyFill="1" applyBorder="1" applyAlignment="1">
      <alignment horizontal="center" vertical="center"/>
    </xf>
    <xf numFmtId="0" fontId="9" fillId="0" borderId="0" xfId="0" applyFont="1"/>
    <xf numFmtId="49" fontId="38" fillId="2" borderId="14" xfId="0" applyNumberFormat="1" applyFont="1" applyFill="1" applyBorder="1" applyAlignment="1">
      <alignment horizontal="center" vertical="center" wrapText="1"/>
    </xf>
    <xf numFmtId="49" fontId="38" fillId="2" borderId="15" xfId="0" applyNumberFormat="1" applyFont="1" applyFill="1" applyBorder="1" applyAlignment="1">
      <alignment horizontal="center" vertical="center" wrapText="1"/>
    </xf>
    <xf numFmtId="165" fontId="38" fillId="2" borderId="14" xfId="0" applyNumberFormat="1" applyFont="1" applyFill="1" applyBorder="1" applyAlignment="1">
      <alignment horizontal="center" vertical="center" wrapText="1"/>
    </xf>
    <xf numFmtId="165" fontId="8" fillId="2" borderId="14" xfId="0" applyNumberFormat="1" applyFont="1" applyFill="1" applyBorder="1" applyAlignment="1">
      <alignment horizontal="center" vertical="center"/>
    </xf>
    <xf numFmtId="165" fontId="37" fillId="2" borderId="14" xfId="0" applyNumberFormat="1" applyFont="1" applyFill="1" applyBorder="1" applyAlignment="1">
      <alignment horizontal="center" vertical="center" wrapText="1"/>
    </xf>
    <xf numFmtId="165" fontId="9" fillId="2" borderId="14" xfId="0" applyNumberFormat="1" applyFont="1" applyFill="1" applyBorder="1" applyAlignment="1">
      <alignment vertical="center"/>
    </xf>
    <xf numFmtId="49" fontId="37" fillId="2" borderId="14" xfId="0" applyNumberFormat="1" applyFont="1" applyFill="1" applyBorder="1" applyAlignment="1">
      <alignment horizontal="center" vertical="center" wrapText="1"/>
    </xf>
    <xf numFmtId="165" fontId="38" fillId="2" borderId="0" xfId="0" applyNumberFormat="1" applyFont="1" applyFill="1" applyAlignment="1">
      <alignment horizontal="center" vertical="center" wrapText="1"/>
    </xf>
    <xf numFmtId="0" fontId="37" fillId="2" borderId="14" xfId="0" applyFont="1" applyFill="1" applyBorder="1" applyAlignment="1">
      <alignment horizontal="center" vertical="center" wrapText="1"/>
    </xf>
    <xf numFmtId="4" fontId="37" fillId="2" borderId="14" xfId="3" applyNumberFormat="1" applyFont="1" applyFill="1" applyBorder="1" applyAlignment="1">
      <alignment horizontal="center" vertical="center" wrapText="1"/>
    </xf>
    <xf numFmtId="4" fontId="9" fillId="2" borderId="14" xfId="0" applyNumberFormat="1" applyFont="1" applyFill="1" applyBorder="1" applyAlignment="1">
      <alignment horizontal="center" vertical="center"/>
    </xf>
    <xf numFmtId="4" fontId="9" fillId="2" borderId="0" xfId="0" applyNumberFormat="1" applyFont="1" applyFill="1" applyAlignment="1">
      <alignment horizontal="center" vertical="center"/>
    </xf>
    <xf numFmtId="49" fontId="9" fillId="2" borderId="14" xfId="0" applyNumberFormat="1" applyFont="1" applyFill="1" applyBorder="1" applyAlignment="1">
      <alignment horizontal="center" vertical="center"/>
    </xf>
    <xf numFmtId="49" fontId="9" fillId="2" borderId="15" xfId="0" applyNumberFormat="1" applyFont="1" applyFill="1" applyBorder="1" applyAlignment="1">
      <alignment horizontal="center" vertical="center"/>
    </xf>
    <xf numFmtId="0" fontId="8" fillId="2" borderId="11" xfId="0" applyFont="1" applyFill="1" applyBorder="1" applyAlignment="1">
      <alignment horizontal="right" vertical="center"/>
    </xf>
    <xf numFmtId="165" fontId="8" fillId="2" borderId="11" xfId="0" applyNumberFormat="1" applyFont="1" applyFill="1" applyBorder="1" applyAlignment="1">
      <alignment horizontal="right" vertical="center"/>
    </xf>
    <xf numFmtId="49" fontId="37" fillId="2" borderId="15" xfId="0" applyNumberFormat="1" applyFont="1" applyFill="1" applyBorder="1" applyAlignment="1">
      <alignment horizontal="center" vertical="center" wrapText="1"/>
    </xf>
    <xf numFmtId="165" fontId="36" fillId="35" borderId="14" xfId="0" applyNumberFormat="1" applyFont="1" applyFill="1" applyBorder="1" applyAlignment="1">
      <alignment horizontal="center" vertical="center" wrapText="1"/>
    </xf>
    <xf numFmtId="0" fontId="38" fillId="2" borderId="14" xfId="0" applyFont="1" applyFill="1" applyBorder="1" applyAlignment="1">
      <alignment horizontal="center" vertical="center" wrapText="1"/>
    </xf>
    <xf numFmtId="0" fontId="38" fillId="2" borderId="14" xfId="0" applyFont="1" applyFill="1" applyBorder="1" applyAlignment="1">
      <alignment horizontal="left" vertical="center" wrapText="1"/>
    </xf>
    <xf numFmtId="165" fontId="9" fillId="2" borderId="14" xfId="0" applyNumberFormat="1" applyFont="1" applyFill="1" applyBorder="1" applyAlignment="1">
      <alignment horizontal="center" vertical="center"/>
    </xf>
    <xf numFmtId="170" fontId="37" fillId="2" borderId="14" xfId="0" applyNumberFormat="1" applyFont="1" applyFill="1" applyBorder="1" applyAlignment="1">
      <alignment horizontal="center" vertical="center" wrapText="1"/>
    </xf>
    <xf numFmtId="165" fontId="8" fillId="2" borderId="14" xfId="0" applyNumberFormat="1" applyFont="1" applyFill="1" applyBorder="1" applyAlignment="1">
      <alignment horizontal="center" vertical="center" wrapText="1"/>
    </xf>
    <xf numFmtId="0" fontId="9" fillId="0" borderId="0" xfId="0" applyFont="1" applyAlignment="1">
      <alignment horizontal="justify" vertical="center"/>
    </xf>
    <xf numFmtId="0" fontId="39" fillId="0" borderId="0" xfId="0" applyFont="1" applyAlignment="1">
      <alignment horizontal="justify" vertical="center"/>
    </xf>
    <xf numFmtId="4" fontId="9" fillId="2" borderId="0" xfId="0" applyNumberFormat="1" applyFont="1" applyFill="1" applyAlignment="1">
      <alignment vertical="center"/>
    </xf>
    <xf numFmtId="4" fontId="37" fillId="0" borderId="14" xfId="0" applyNumberFormat="1" applyFont="1" applyBorder="1" applyAlignment="1">
      <alignment horizontal="center" vertical="center" wrapText="1"/>
    </xf>
    <xf numFmtId="0" fontId="9" fillId="0" borderId="0" xfId="0" applyFont="1" applyAlignment="1">
      <alignment vertical="center"/>
    </xf>
    <xf numFmtId="166" fontId="42" fillId="2" borderId="0" xfId="0" applyNumberFormat="1" applyFont="1" applyFill="1" applyAlignment="1">
      <alignment vertical="center"/>
    </xf>
    <xf numFmtId="49" fontId="37" fillId="2" borderId="14" xfId="0" applyNumberFormat="1" applyFont="1" applyFill="1" applyBorder="1" applyAlignment="1">
      <alignment horizontal="center" wrapText="1"/>
    </xf>
    <xf numFmtId="4" fontId="9" fillId="2" borderId="11" xfId="0" applyNumberFormat="1" applyFont="1" applyFill="1" applyBorder="1" applyAlignment="1">
      <alignment horizontal="center" vertical="center"/>
    </xf>
    <xf numFmtId="4" fontId="8" fillId="2" borderId="17" xfId="0" applyNumberFormat="1" applyFont="1" applyFill="1" applyBorder="1" applyAlignment="1">
      <alignment horizontal="right" vertical="center"/>
    </xf>
    <xf numFmtId="4" fontId="9" fillId="2" borderId="0" xfId="0" applyNumberFormat="1" applyFont="1" applyFill="1" applyAlignment="1">
      <alignment horizontal="left" vertical="center"/>
    </xf>
    <xf numFmtId="49" fontId="37" fillId="2" borderId="0" xfId="51" applyNumberFormat="1" applyFont="1" applyFill="1" applyAlignment="1">
      <alignment horizontal="center"/>
    </xf>
    <xf numFmtId="166" fontId="9" fillId="2" borderId="0" xfId="0" applyNumberFormat="1" applyFont="1" applyFill="1"/>
    <xf numFmtId="9" fontId="9" fillId="2" borderId="0" xfId="1" applyFont="1" applyFill="1"/>
    <xf numFmtId="4" fontId="9" fillId="2" borderId="0" xfId="0" applyNumberFormat="1" applyFont="1" applyFill="1" applyAlignment="1">
      <alignment horizontal="center"/>
    </xf>
    <xf numFmtId="0" fontId="38" fillId="2" borderId="15" xfId="0" applyFont="1" applyFill="1" applyBorder="1" applyAlignment="1">
      <alignment horizontal="center" vertical="center" wrapText="1"/>
    </xf>
    <xf numFmtId="166" fontId="9" fillId="2" borderId="0" xfId="0" applyNumberFormat="1" applyFont="1" applyFill="1" applyAlignment="1">
      <alignment vertical="center"/>
    </xf>
    <xf numFmtId="165" fontId="37" fillId="2" borderId="14" xfId="3" applyNumberFormat="1" applyFont="1" applyFill="1" applyBorder="1" applyAlignment="1">
      <alignment horizontal="center" vertical="center" wrapText="1"/>
    </xf>
    <xf numFmtId="0" fontId="37" fillId="2" borderId="15" xfId="0" applyFont="1" applyFill="1" applyBorder="1" applyAlignment="1">
      <alignment horizontal="center" vertical="center" wrapText="1"/>
    </xf>
    <xf numFmtId="0" fontId="9" fillId="2" borderId="0" xfId="0" applyFont="1" applyFill="1" applyAlignment="1">
      <alignment horizontal="center" vertical="center"/>
    </xf>
    <xf numFmtId="4" fontId="42" fillId="2" borderId="0" xfId="0" applyNumberFormat="1" applyFont="1" applyFill="1" applyAlignment="1">
      <alignment vertical="center"/>
    </xf>
    <xf numFmtId="0" fontId="9" fillId="2" borderId="0" xfId="0" applyFont="1" applyFill="1" applyAlignment="1">
      <alignment horizontal="right"/>
    </xf>
    <xf numFmtId="4" fontId="9" fillId="2" borderId="14" xfId="0" applyNumberFormat="1" applyFont="1" applyFill="1" applyBorder="1" applyAlignment="1">
      <alignment vertical="center"/>
    </xf>
    <xf numFmtId="0" fontId="9" fillId="2" borderId="0" xfId="0" applyFont="1" applyFill="1" applyAlignment="1">
      <alignment vertical="center" wrapText="1"/>
    </xf>
    <xf numFmtId="49" fontId="37" fillId="2" borderId="11" xfId="0" applyNumberFormat="1" applyFont="1" applyFill="1" applyBorder="1" applyAlignment="1">
      <alignment horizontal="center" vertical="center" wrapText="1"/>
    </xf>
    <xf numFmtId="4" fontId="37" fillId="2" borderId="11" xfId="3" applyNumberFormat="1" applyFont="1" applyFill="1" applyBorder="1" applyAlignment="1">
      <alignment horizontal="center" vertical="center" wrapText="1"/>
    </xf>
    <xf numFmtId="4" fontId="9" fillId="2" borderId="12" xfId="0" applyNumberFormat="1" applyFont="1" applyFill="1" applyBorder="1" applyAlignment="1">
      <alignment horizontal="center" vertical="center"/>
    </xf>
    <xf numFmtId="4" fontId="38" fillId="2" borderId="12" xfId="0" applyNumberFormat="1" applyFont="1" applyFill="1" applyBorder="1" applyAlignment="1">
      <alignment horizontal="center" vertical="center" wrapText="1"/>
    </xf>
    <xf numFmtId="166" fontId="9" fillId="2" borderId="0" xfId="0" applyNumberFormat="1" applyFont="1" applyFill="1" applyAlignment="1">
      <alignment horizontal="left" vertical="center"/>
    </xf>
    <xf numFmtId="49" fontId="37" fillId="2" borderId="0" xfId="51" applyNumberFormat="1" applyFont="1" applyFill="1"/>
    <xf numFmtId="4" fontId="9" fillId="2" borderId="0" xfId="1" applyNumberFormat="1" applyFont="1" applyFill="1" applyBorder="1" applyAlignment="1">
      <alignment horizontal="center"/>
    </xf>
    <xf numFmtId="2" fontId="9" fillId="2" borderId="0" xfId="0" applyNumberFormat="1" applyFont="1" applyFill="1" applyAlignment="1">
      <alignment horizontal="center"/>
    </xf>
    <xf numFmtId="0" fontId="43" fillId="0" borderId="0" xfId="0" applyFont="1" applyAlignment="1">
      <alignment horizontal="left" vertical="center"/>
    </xf>
    <xf numFmtId="0" fontId="11" fillId="34" borderId="9" xfId="0" applyFont="1" applyFill="1" applyBorder="1" applyAlignment="1">
      <alignment horizontal="center" vertical="center" wrapText="1"/>
    </xf>
    <xf numFmtId="0" fontId="12" fillId="34" borderId="8" xfId="0" applyFont="1" applyFill="1" applyBorder="1" applyAlignment="1">
      <alignment horizontal="center" vertical="center" wrapText="1"/>
    </xf>
    <xf numFmtId="0" fontId="9" fillId="2" borderId="0" xfId="0" applyFont="1" applyFill="1" applyAlignment="1">
      <alignment horizontal="left" vertical="center"/>
    </xf>
    <xf numFmtId="0" fontId="9" fillId="2" borderId="0" xfId="0" applyFont="1" applyFill="1" applyAlignment="1">
      <alignment horizontal="center"/>
    </xf>
    <xf numFmtId="43" fontId="37" fillId="2" borderId="14" xfId="52" applyFont="1" applyFill="1" applyBorder="1" applyAlignment="1">
      <alignment horizontal="center" vertical="center"/>
    </xf>
    <xf numFmtId="43" fontId="9" fillId="0" borderId="14" xfId="52" applyFont="1" applyFill="1" applyBorder="1" applyAlignment="1">
      <alignment horizontal="center" vertical="center"/>
    </xf>
    <xf numFmtId="171" fontId="37" fillId="2" borderId="14" xfId="52" applyNumberFormat="1" applyFont="1" applyFill="1" applyBorder="1" applyAlignment="1">
      <alignment horizontal="center" vertical="center" wrapText="1"/>
    </xf>
    <xf numFmtId="43" fontId="37" fillId="2" borderId="14" xfId="52" applyFont="1" applyFill="1" applyBorder="1" applyAlignment="1">
      <alignment horizontal="center" vertical="center" wrapText="1"/>
    </xf>
    <xf numFmtId="43" fontId="9" fillId="2" borderId="14" xfId="52" applyFont="1" applyFill="1" applyBorder="1" applyAlignment="1">
      <alignment vertical="center"/>
    </xf>
    <xf numFmtId="0" fontId="45" fillId="2" borderId="0" xfId="0" applyFont="1" applyFill="1" applyAlignment="1">
      <alignment vertical="center"/>
    </xf>
    <xf numFmtId="0" fontId="45" fillId="2" borderId="0" xfId="0" applyFont="1" applyFill="1"/>
    <xf numFmtId="4" fontId="45" fillId="2" borderId="0" xfId="0" applyNumberFormat="1" applyFont="1" applyFill="1"/>
    <xf numFmtId="165" fontId="9" fillId="2" borderId="0" xfId="0" applyNumberFormat="1" applyFont="1" applyFill="1" applyAlignment="1">
      <alignment vertical="center"/>
    </xf>
    <xf numFmtId="49" fontId="9" fillId="2" borderId="0" xfId="0" applyNumberFormat="1" applyFont="1" applyFill="1" applyAlignment="1">
      <alignment horizontal="center" vertical="center"/>
    </xf>
    <xf numFmtId="165" fontId="9" fillId="2" borderId="0" xfId="0" applyNumberFormat="1" applyFont="1" applyFill="1" applyAlignment="1">
      <alignment horizontal="center" vertical="center"/>
    </xf>
    <xf numFmtId="172" fontId="42" fillId="2" borderId="0" xfId="52" applyNumberFormat="1" applyFont="1" applyFill="1" applyAlignment="1">
      <alignment horizontal="left" vertical="center"/>
    </xf>
    <xf numFmtId="4" fontId="9" fillId="2" borderId="13" xfId="0" applyNumberFormat="1" applyFont="1" applyFill="1" applyBorder="1" applyAlignment="1">
      <alignment horizontal="left" vertical="center"/>
    </xf>
    <xf numFmtId="4" fontId="42" fillId="2" borderId="13" xfId="0" applyNumberFormat="1" applyFont="1" applyFill="1" applyBorder="1" applyAlignment="1">
      <alignment horizontal="left" vertical="center"/>
    </xf>
    <xf numFmtId="4" fontId="8" fillId="2" borderId="14" xfId="0" applyNumberFormat="1" applyFont="1" applyFill="1" applyBorder="1" applyAlignment="1">
      <alignment horizontal="left" vertical="center"/>
    </xf>
    <xf numFmtId="4" fontId="9" fillId="2" borderId="14" xfId="0" applyNumberFormat="1" applyFont="1" applyFill="1" applyBorder="1" applyAlignment="1">
      <alignment horizontal="left" vertical="center"/>
    </xf>
    <xf numFmtId="4" fontId="9" fillId="2" borderId="11" xfId="0" applyNumberFormat="1" applyFont="1" applyFill="1" applyBorder="1" applyAlignment="1">
      <alignment horizontal="left" vertical="center"/>
    </xf>
    <xf numFmtId="4" fontId="8" fillId="2" borderId="12" xfId="0" applyNumberFormat="1" applyFont="1" applyFill="1" applyBorder="1" applyAlignment="1">
      <alignment horizontal="left" vertical="center"/>
    </xf>
    <xf numFmtId="4" fontId="9" fillId="2" borderId="0" xfId="0" applyNumberFormat="1" applyFont="1" applyFill="1" applyAlignment="1">
      <alignment horizontal="left"/>
    </xf>
    <xf numFmtId="43" fontId="9" fillId="0" borderId="14" xfId="52" applyFont="1" applyFill="1" applyBorder="1" applyAlignment="1">
      <alignment horizontal="right" vertical="center"/>
    </xf>
    <xf numFmtId="43" fontId="9" fillId="2" borderId="14" xfId="52" applyFont="1" applyFill="1" applyBorder="1" applyAlignment="1">
      <alignment horizontal="right" vertical="center"/>
    </xf>
    <xf numFmtId="43" fontId="38" fillId="2" borderId="14" xfId="52" applyFont="1" applyFill="1" applyBorder="1" applyAlignment="1">
      <alignment horizontal="center" vertical="center" wrapText="1"/>
    </xf>
    <xf numFmtId="43" fontId="9" fillId="2" borderId="14" xfId="52" applyFont="1" applyFill="1" applyBorder="1" applyAlignment="1">
      <alignment horizontal="center" vertical="center"/>
    </xf>
    <xf numFmtId="43" fontId="36" fillId="35" borderId="14" xfId="52" applyFont="1" applyFill="1" applyBorder="1" applyAlignment="1">
      <alignment horizontal="center" vertical="center" wrapText="1"/>
    </xf>
    <xf numFmtId="43" fontId="37" fillId="0" borderId="14" xfId="52" applyFont="1" applyFill="1" applyBorder="1" applyAlignment="1">
      <alignment horizontal="center" vertical="center"/>
    </xf>
    <xf numFmtId="0" fontId="38" fillId="2" borderId="14" xfId="0" applyFont="1" applyFill="1" applyBorder="1" applyAlignment="1">
      <alignment horizontal="center" vertical="center"/>
    </xf>
    <xf numFmtId="165" fontId="37" fillId="2" borderId="14" xfId="0" applyNumberFormat="1" applyFont="1" applyFill="1" applyBorder="1" applyAlignment="1">
      <alignment vertical="center"/>
    </xf>
    <xf numFmtId="49" fontId="37" fillId="2" borderId="16" xfId="0" applyNumberFormat="1" applyFont="1" applyFill="1" applyBorder="1" applyAlignment="1">
      <alignment horizontal="center" vertical="center"/>
    </xf>
    <xf numFmtId="0" fontId="37" fillId="2" borderId="0" xfId="0" applyFont="1" applyFill="1" applyAlignment="1">
      <alignment vertical="center"/>
    </xf>
    <xf numFmtId="0" fontId="38" fillId="2" borderId="16" xfId="0" applyFont="1" applyFill="1" applyBorder="1" applyAlignment="1">
      <alignment horizontal="right" vertical="center"/>
    </xf>
    <xf numFmtId="165" fontId="38" fillId="2" borderId="16" xfId="0" applyNumberFormat="1" applyFont="1" applyFill="1" applyBorder="1" applyAlignment="1">
      <alignment horizontal="right" vertical="center"/>
    </xf>
    <xf numFmtId="0" fontId="47" fillId="2" borderId="0" xfId="0" applyFont="1" applyFill="1" applyAlignment="1">
      <alignment vertical="center"/>
    </xf>
    <xf numFmtId="165" fontId="38" fillId="2" borderId="14" xfId="0" applyNumberFormat="1" applyFont="1" applyFill="1" applyBorder="1" applyAlignment="1">
      <alignment horizontal="center" vertical="center"/>
    </xf>
    <xf numFmtId="4" fontId="38" fillId="2" borderId="14" xfId="0" applyNumberFormat="1" applyFont="1" applyFill="1" applyBorder="1" applyAlignment="1">
      <alignment horizontal="center" vertical="center"/>
    </xf>
    <xf numFmtId="49" fontId="37" fillId="2" borderId="14" xfId="0" applyNumberFormat="1" applyFont="1" applyFill="1" applyBorder="1" applyAlignment="1">
      <alignment horizontal="center" vertical="center"/>
    </xf>
    <xf numFmtId="0" fontId="37" fillId="2" borderId="15" xfId="0" applyFont="1" applyFill="1" applyBorder="1" applyAlignment="1">
      <alignment horizontal="center" vertical="center"/>
    </xf>
    <xf numFmtId="0" fontId="37" fillId="2" borderId="15" xfId="0" applyFont="1" applyFill="1" applyBorder="1" applyAlignment="1">
      <alignment vertical="center"/>
    </xf>
    <xf numFmtId="165" fontId="38" fillId="2" borderId="11" xfId="0" applyNumberFormat="1" applyFont="1" applyFill="1" applyBorder="1" applyAlignment="1">
      <alignment horizontal="right" vertical="center"/>
    </xf>
    <xf numFmtId="0" fontId="37" fillId="2" borderId="11" xfId="0" applyFont="1" applyFill="1" applyBorder="1" applyAlignment="1">
      <alignment vertical="center"/>
    </xf>
    <xf numFmtId="166" fontId="47" fillId="2" borderId="13" xfId="0" applyNumberFormat="1" applyFont="1" applyFill="1" applyBorder="1" applyAlignment="1">
      <alignment vertical="center"/>
    </xf>
    <xf numFmtId="49" fontId="4" fillId="37" borderId="14" xfId="0" applyNumberFormat="1" applyFont="1" applyFill="1" applyBorder="1" applyAlignment="1">
      <alignment horizontal="center" vertical="center" wrapText="1"/>
    </xf>
    <xf numFmtId="0" fontId="4" fillId="37" borderId="14" xfId="0" applyFont="1" applyFill="1" applyBorder="1" applyAlignment="1">
      <alignment horizontal="center" vertical="center" wrapText="1"/>
    </xf>
    <xf numFmtId="0" fontId="4" fillId="37" borderId="15" xfId="0" applyFont="1" applyFill="1" applyBorder="1" applyAlignment="1">
      <alignment horizontal="left" vertical="center" wrapText="1"/>
    </xf>
    <xf numFmtId="0" fontId="9" fillId="0" borderId="33" xfId="0" applyFont="1" applyBorder="1" applyAlignment="1">
      <alignment horizontal="right" vertical="center"/>
    </xf>
    <xf numFmtId="0" fontId="9" fillId="0" borderId="35" xfId="0" applyFont="1" applyBorder="1" applyAlignment="1">
      <alignment horizontal="right" vertical="center"/>
    </xf>
    <xf numFmtId="0" fontId="9" fillId="0" borderId="20" xfId="0" applyFont="1" applyBorder="1" applyAlignment="1">
      <alignment horizontal="center" vertical="center"/>
    </xf>
    <xf numFmtId="0" fontId="9" fillId="0" borderId="36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164" fontId="9" fillId="0" borderId="36" xfId="0" applyNumberFormat="1" applyFont="1" applyBorder="1" applyAlignment="1">
      <alignment horizontal="center" vertical="center"/>
    </xf>
    <xf numFmtId="43" fontId="42" fillId="2" borderId="0" xfId="52" applyFont="1" applyFill="1" applyAlignment="1">
      <alignment vertical="center"/>
    </xf>
    <xf numFmtId="4" fontId="38" fillId="2" borderId="17" xfId="0" applyNumberFormat="1" applyFont="1" applyFill="1" applyBorder="1" applyAlignment="1">
      <alignment horizontal="right" vertical="center"/>
    </xf>
    <xf numFmtId="166" fontId="46" fillId="2" borderId="0" xfId="0" applyNumberFormat="1" applyFont="1" applyFill="1" applyAlignment="1">
      <alignment vertical="center"/>
    </xf>
    <xf numFmtId="43" fontId="36" fillId="35" borderId="14" xfId="0" applyNumberFormat="1" applyFont="1" applyFill="1" applyBorder="1"/>
    <xf numFmtId="0" fontId="46" fillId="2" borderId="0" xfId="0" applyFont="1" applyFill="1"/>
    <xf numFmtId="167" fontId="9" fillId="0" borderId="0" xfId="0" applyNumberFormat="1" applyFont="1" applyAlignment="1">
      <alignment vertical="center"/>
    </xf>
    <xf numFmtId="0" fontId="43" fillId="0" borderId="0" xfId="0" applyFont="1" applyAlignment="1">
      <alignment vertical="center"/>
    </xf>
    <xf numFmtId="0" fontId="9" fillId="0" borderId="0" xfId="0" applyFont="1" applyAlignment="1">
      <alignment horizontal="right" vertical="center"/>
    </xf>
    <xf numFmtId="4" fontId="9" fillId="0" borderId="0" xfId="0" applyNumberFormat="1" applyFont="1" applyAlignment="1">
      <alignment vertical="center"/>
    </xf>
    <xf numFmtId="0" fontId="37" fillId="2" borderId="0" xfId="0" applyFont="1" applyFill="1" applyAlignment="1">
      <alignment horizontal="left" vertical="center"/>
    </xf>
    <xf numFmtId="167" fontId="38" fillId="2" borderId="14" xfId="0" applyNumberFormat="1" applyFont="1" applyFill="1" applyBorder="1" applyAlignment="1">
      <alignment horizontal="center" vertical="center"/>
    </xf>
    <xf numFmtId="0" fontId="38" fillId="2" borderId="14" xfId="0" applyFont="1" applyFill="1" applyBorder="1" applyAlignment="1">
      <alignment vertical="center"/>
    </xf>
    <xf numFmtId="167" fontId="38" fillId="2" borderId="14" xfId="0" applyNumberFormat="1" applyFont="1" applyFill="1" applyBorder="1" applyAlignment="1">
      <alignment vertical="center"/>
    </xf>
    <xf numFmtId="167" fontId="37" fillId="36" borderId="14" xfId="0" applyNumberFormat="1" applyFont="1" applyFill="1" applyBorder="1" applyAlignment="1">
      <alignment vertical="center"/>
    </xf>
    <xf numFmtId="43" fontId="37" fillId="2" borderId="14" xfId="0" applyNumberFormat="1" applyFont="1" applyFill="1" applyBorder="1" applyAlignment="1">
      <alignment horizontal="center" vertical="center"/>
    </xf>
    <xf numFmtId="168" fontId="37" fillId="2" borderId="14" xfId="0" applyNumberFormat="1" applyFont="1" applyFill="1" applyBorder="1" applyAlignment="1">
      <alignment vertical="center"/>
    </xf>
    <xf numFmtId="0" fontId="37" fillId="2" borderId="11" xfId="0" applyFont="1" applyFill="1" applyBorder="1" applyAlignment="1">
      <alignment horizontal="center" vertical="center"/>
    </xf>
    <xf numFmtId="167" fontId="37" fillId="2" borderId="11" xfId="0" applyNumberFormat="1" applyFont="1" applyFill="1" applyBorder="1" applyAlignment="1">
      <alignment vertical="center"/>
    </xf>
    <xf numFmtId="0" fontId="46" fillId="2" borderId="0" xfId="0" applyFont="1" applyFill="1" applyAlignment="1">
      <alignment horizontal="left" vertical="center"/>
    </xf>
    <xf numFmtId="165" fontId="37" fillId="2" borderId="0" xfId="0" applyNumberFormat="1" applyFont="1" applyFill="1" applyAlignment="1">
      <alignment vertical="center"/>
    </xf>
    <xf numFmtId="49" fontId="37" fillId="2" borderId="0" xfId="0" applyNumberFormat="1" applyFont="1" applyFill="1" applyAlignment="1">
      <alignment horizontal="center" vertical="center"/>
    </xf>
    <xf numFmtId="49" fontId="37" fillId="2" borderId="15" xfId="0" applyNumberFormat="1" applyFont="1" applyFill="1" applyBorder="1" applyAlignment="1">
      <alignment horizontal="center" vertical="center"/>
    </xf>
    <xf numFmtId="0" fontId="37" fillId="0" borderId="14" xfId="0" applyFont="1" applyBorder="1" applyAlignment="1">
      <alignment horizontal="center" vertical="center"/>
    </xf>
    <xf numFmtId="168" fontId="37" fillId="0" borderId="14" xfId="0" applyNumberFormat="1" applyFont="1" applyBorder="1" applyAlignment="1">
      <alignment vertical="center"/>
    </xf>
    <xf numFmtId="0" fontId="37" fillId="0" borderId="15" xfId="0" applyFont="1" applyBorder="1" applyAlignment="1">
      <alignment vertical="center"/>
    </xf>
    <xf numFmtId="0" fontId="51" fillId="34" borderId="9" xfId="0" applyFont="1" applyFill="1" applyBorder="1" applyAlignment="1">
      <alignment horizontal="center" vertical="center" wrapText="1"/>
    </xf>
    <xf numFmtId="0" fontId="51" fillId="34" borderId="5" xfId="0" applyFont="1" applyFill="1" applyBorder="1" applyAlignment="1">
      <alignment horizontal="center" vertical="center" wrapText="1"/>
    </xf>
    <xf numFmtId="0" fontId="51" fillId="34" borderId="5" xfId="0" applyFont="1" applyFill="1" applyBorder="1" applyAlignment="1">
      <alignment horizontal="center" vertical="center"/>
    </xf>
    <xf numFmtId="0" fontId="51" fillId="34" borderId="1" xfId="0" applyFont="1" applyFill="1" applyBorder="1" applyAlignment="1">
      <alignment vertical="center" wrapText="1"/>
    </xf>
    <xf numFmtId="0" fontId="51" fillId="34" borderId="2" xfId="0" applyFont="1" applyFill="1" applyBorder="1" applyAlignment="1">
      <alignment vertical="center" wrapText="1"/>
    </xf>
    <xf numFmtId="0" fontId="51" fillId="34" borderId="6" xfId="0" applyFont="1" applyFill="1" applyBorder="1" applyAlignment="1">
      <alignment horizontal="center" vertical="center" wrapText="1"/>
    </xf>
    <xf numFmtId="0" fontId="51" fillId="34" borderId="8" xfId="0" applyFont="1" applyFill="1" applyBorder="1" applyAlignment="1">
      <alignment horizontal="center" vertical="center" wrapText="1"/>
    </xf>
    <xf numFmtId="0" fontId="51" fillId="34" borderId="1" xfId="0" applyFont="1" applyFill="1" applyBorder="1" applyAlignment="1">
      <alignment vertical="center"/>
    </xf>
    <xf numFmtId="0" fontId="51" fillId="34" borderId="2" xfId="0" applyFont="1" applyFill="1" applyBorder="1" applyAlignment="1">
      <alignment vertical="center"/>
    </xf>
    <xf numFmtId="0" fontId="51" fillId="34" borderId="22" xfId="0" applyFont="1" applyFill="1" applyBorder="1" applyAlignment="1">
      <alignment vertical="center" wrapText="1"/>
    </xf>
    <xf numFmtId="0" fontId="51" fillId="34" borderId="9" xfId="0" applyFont="1" applyFill="1" applyBorder="1" applyAlignment="1">
      <alignment vertical="center" wrapText="1"/>
    </xf>
    <xf numFmtId="0" fontId="51" fillId="34" borderId="18" xfId="0" applyFont="1" applyFill="1" applyBorder="1" applyAlignment="1">
      <alignment vertical="center" wrapText="1"/>
    </xf>
    <xf numFmtId="0" fontId="51" fillId="34" borderId="18" xfId="0" applyFont="1" applyFill="1" applyBorder="1" applyAlignment="1">
      <alignment vertical="center"/>
    </xf>
    <xf numFmtId="165" fontId="42" fillId="2" borderId="0" xfId="0" applyNumberFormat="1" applyFont="1" applyFill="1" applyAlignment="1">
      <alignment vertical="center"/>
    </xf>
    <xf numFmtId="0" fontId="37" fillId="2" borderId="0" xfId="0" applyFont="1" applyFill="1" applyAlignment="1">
      <alignment horizontal="center" vertical="center"/>
    </xf>
    <xf numFmtId="0" fontId="37" fillId="0" borderId="15" xfId="0" applyFont="1" applyBorder="1" applyAlignment="1">
      <alignment horizontal="center" vertical="center"/>
    </xf>
    <xf numFmtId="0" fontId="38" fillId="2" borderId="15" xfId="0" applyFont="1" applyFill="1" applyBorder="1" applyAlignment="1">
      <alignment horizontal="left" vertical="center" wrapText="1"/>
    </xf>
    <xf numFmtId="0" fontId="37" fillId="2" borderId="15" xfId="0" applyFont="1" applyFill="1" applyBorder="1" applyAlignment="1">
      <alignment horizontal="left" vertical="center"/>
    </xf>
    <xf numFmtId="0" fontId="38" fillId="2" borderId="15" xfId="0" applyFont="1" applyFill="1" applyBorder="1" applyAlignment="1">
      <alignment horizontal="left" vertical="center"/>
    </xf>
    <xf numFmtId="0" fontId="6" fillId="0" borderId="18" xfId="0" applyFont="1" applyBorder="1" applyAlignment="1">
      <alignment horizontal="center" vertical="center" wrapText="1"/>
    </xf>
    <xf numFmtId="0" fontId="9" fillId="36" borderId="36" xfId="0" applyFont="1" applyFill="1" applyBorder="1" applyAlignment="1">
      <alignment horizontal="center" vertical="center" wrapText="1"/>
    </xf>
    <xf numFmtId="43" fontId="9" fillId="0" borderId="0" xfId="52" applyFont="1" applyFill="1" applyAlignment="1">
      <alignment vertical="center"/>
    </xf>
    <xf numFmtId="0" fontId="9" fillId="36" borderId="14" xfId="0" applyFont="1" applyFill="1" applyBorder="1"/>
    <xf numFmtId="0" fontId="53" fillId="2" borderId="0" xfId="0" applyFont="1" applyFill="1" applyAlignment="1">
      <alignment horizontal="left" vertical="center"/>
    </xf>
    <xf numFmtId="49" fontId="37" fillId="0" borderId="14" xfId="51" applyNumberFormat="1" applyFont="1" applyBorder="1" applyAlignment="1">
      <alignment horizontal="center" vertical="center"/>
    </xf>
    <xf numFmtId="0" fontId="53" fillId="2" borderId="0" xfId="0" applyFont="1" applyFill="1" applyAlignment="1">
      <alignment horizontal="center" vertical="center"/>
    </xf>
    <xf numFmtId="0" fontId="38" fillId="2" borderId="0" xfId="0" applyFont="1" applyFill="1" applyAlignment="1">
      <alignment horizontal="right" vertical="center"/>
    </xf>
    <xf numFmtId="43" fontId="37" fillId="2" borderId="14" xfId="52" applyFont="1" applyFill="1" applyBorder="1" applyAlignment="1">
      <alignment vertical="center"/>
    </xf>
    <xf numFmtId="0" fontId="37" fillId="2" borderId="14" xfId="0" applyFont="1" applyFill="1" applyBorder="1" applyAlignment="1">
      <alignment horizontal="left" vertical="center"/>
    </xf>
    <xf numFmtId="169" fontId="37" fillId="2" borderId="14" xfId="0" applyNumberFormat="1" applyFont="1" applyFill="1" applyBorder="1" applyAlignment="1">
      <alignment horizontal="center" vertical="center"/>
    </xf>
    <xf numFmtId="0" fontId="37" fillId="2" borderId="0" xfId="0" applyFont="1" applyFill="1"/>
    <xf numFmtId="0" fontId="37" fillId="2" borderId="0" xfId="0" applyFont="1" applyFill="1" applyAlignment="1">
      <alignment horizontal="center"/>
    </xf>
    <xf numFmtId="0" fontId="37" fillId="0" borderId="11" xfId="0" applyFont="1" applyBorder="1" applyAlignment="1">
      <alignment horizontal="center" vertical="center"/>
    </xf>
    <xf numFmtId="0" fontId="38" fillId="0" borderId="17" xfId="0" applyFont="1" applyBorder="1" applyAlignment="1">
      <alignment horizontal="right" vertical="center"/>
    </xf>
    <xf numFmtId="0" fontId="38" fillId="2" borderId="16" xfId="0" applyFont="1" applyFill="1" applyBorder="1" applyAlignment="1">
      <alignment horizontal="center" vertical="center" wrapText="1"/>
    </xf>
    <xf numFmtId="0" fontId="38" fillId="2" borderId="19" xfId="0" applyFont="1" applyFill="1" applyBorder="1" applyAlignment="1">
      <alignment horizontal="center" vertical="center" wrapText="1"/>
    </xf>
    <xf numFmtId="165" fontId="38" fillId="2" borderId="0" xfId="0" applyNumberFormat="1" applyFont="1" applyFill="1" applyAlignment="1">
      <alignment horizontal="right" vertical="center"/>
    </xf>
    <xf numFmtId="49" fontId="37" fillId="2" borderId="0" xfId="0" applyNumberFormat="1" applyFont="1" applyFill="1" applyAlignment="1">
      <alignment horizontal="center"/>
    </xf>
    <xf numFmtId="166" fontId="37" fillId="2" borderId="13" xfId="0" applyNumberFormat="1" applyFont="1" applyFill="1" applyBorder="1" applyAlignment="1">
      <alignment vertical="center"/>
    </xf>
    <xf numFmtId="166" fontId="37" fillId="2" borderId="0" xfId="0" applyNumberFormat="1" applyFont="1" applyFill="1" applyAlignment="1">
      <alignment vertical="center"/>
    </xf>
    <xf numFmtId="4" fontId="38" fillId="0" borderId="14" xfId="0" applyNumberFormat="1" applyFont="1" applyBorder="1" applyAlignment="1">
      <alignment horizontal="left" vertical="center" wrapText="1"/>
    </xf>
    <xf numFmtId="4" fontId="38" fillId="0" borderId="11" xfId="0" applyNumberFormat="1" applyFont="1" applyBorder="1" applyAlignment="1">
      <alignment horizontal="right" vertical="center"/>
    </xf>
    <xf numFmtId="164" fontId="9" fillId="36" borderId="36" xfId="0" applyNumberFormat="1" applyFont="1" applyFill="1" applyBorder="1" applyAlignment="1">
      <alignment horizontal="center" vertical="center"/>
    </xf>
    <xf numFmtId="165" fontId="4" fillId="37" borderId="14" xfId="0" applyNumberFormat="1" applyFont="1" applyFill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/>
    </xf>
    <xf numFmtId="0" fontId="7" fillId="2" borderId="14" xfId="0" applyFont="1" applyFill="1" applyBorder="1" applyAlignment="1">
      <alignment horizontal="center" vertical="center"/>
    </xf>
    <xf numFmtId="0" fontId="4" fillId="2" borderId="17" xfId="0" applyFont="1" applyFill="1" applyBorder="1" applyAlignment="1">
      <alignment horizontal="right" vertical="center"/>
    </xf>
    <xf numFmtId="0" fontId="4" fillId="37" borderId="17" xfId="0" applyFont="1" applyFill="1" applyBorder="1" applyAlignment="1">
      <alignment horizontal="right" vertical="center"/>
    </xf>
    <xf numFmtId="165" fontId="4" fillId="37" borderId="14" xfId="0" applyNumberFormat="1" applyFont="1" applyFill="1" applyBorder="1" applyAlignment="1">
      <alignment vertical="center"/>
    </xf>
    <xf numFmtId="43" fontId="7" fillId="2" borderId="14" xfId="0" applyNumberFormat="1" applyFont="1" applyFill="1" applyBorder="1" applyAlignment="1">
      <alignment horizontal="center" vertical="center"/>
    </xf>
    <xf numFmtId="0" fontId="38" fillId="2" borderId="0" xfId="0" applyFont="1" applyFill="1"/>
    <xf numFmtId="43" fontId="38" fillId="2" borderId="0" xfId="0" applyNumberFormat="1" applyFont="1" applyFill="1" applyAlignment="1">
      <alignment horizontal="center" vertical="center"/>
    </xf>
    <xf numFmtId="4" fontId="37" fillId="2" borderId="11" xfId="0" applyNumberFormat="1" applyFont="1" applyFill="1" applyBorder="1" applyAlignment="1">
      <alignment horizontal="center" vertical="center"/>
    </xf>
    <xf numFmtId="49" fontId="37" fillId="2" borderId="12" xfId="0" applyNumberFormat="1" applyFont="1" applyFill="1" applyBorder="1" applyAlignment="1">
      <alignment horizontal="center" vertical="center"/>
    </xf>
    <xf numFmtId="0" fontId="37" fillId="2" borderId="12" xfId="0" applyFont="1" applyFill="1" applyBorder="1" applyAlignment="1">
      <alignment vertical="center"/>
    </xf>
    <xf numFmtId="0" fontId="38" fillId="2" borderId="12" xfId="0" applyFont="1" applyFill="1" applyBorder="1" applyAlignment="1">
      <alignment horizontal="right" vertical="center"/>
    </xf>
    <xf numFmtId="4" fontId="37" fillId="2" borderId="12" xfId="0" applyNumberFormat="1" applyFont="1" applyFill="1" applyBorder="1" applyAlignment="1">
      <alignment horizontal="center" vertical="center"/>
    </xf>
    <xf numFmtId="4" fontId="37" fillId="2" borderId="0" xfId="0" applyNumberFormat="1" applyFont="1" applyFill="1" applyAlignment="1">
      <alignment horizontal="center" vertical="center"/>
    </xf>
    <xf numFmtId="4" fontId="37" fillId="2" borderId="0" xfId="0" applyNumberFormat="1" applyFont="1" applyFill="1" applyAlignment="1">
      <alignment horizontal="left" vertical="center"/>
    </xf>
    <xf numFmtId="4" fontId="37" fillId="2" borderId="0" xfId="0" applyNumberFormat="1" applyFont="1" applyFill="1" applyAlignment="1">
      <alignment horizontal="center"/>
    </xf>
    <xf numFmtId="49" fontId="37" fillId="2" borderId="0" xfId="0" applyNumberFormat="1" applyFont="1" applyFill="1" applyAlignment="1">
      <alignment horizontal="left"/>
    </xf>
    <xf numFmtId="49" fontId="37" fillId="2" borderId="0" xfId="0" applyNumberFormat="1" applyFont="1" applyFill="1" applyAlignment="1">
      <alignment horizontal="center" wrapText="1"/>
    </xf>
    <xf numFmtId="4" fontId="37" fillId="2" borderId="0" xfId="1" applyNumberFormat="1" applyFont="1" applyFill="1" applyBorder="1" applyAlignment="1">
      <alignment horizontal="center"/>
    </xf>
    <xf numFmtId="4" fontId="37" fillId="0" borderId="11" xfId="0" applyNumberFormat="1" applyFont="1" applyBorder="1" applyAlignment="1">
      <alignment horizontal="center" vertical="center" wrapText="1"/>
    </xf>
    <xf numFmtId="4" fontId="38" fillId="0" borderId="12" xfId="0" applyNumberFormat="1" applyFont="1" applyBorder="1" applyAlignment="1">
      <alignment horizontal="right" vertical="center"/>
    </xf>
    <xf numFmtId="4" fontId="37" fillId="0" borderId="0" xfId="0" applyNumberFormat="1" applyFont="1" applyAlignment="1">
      <alignment horizontal="left" vertical="center"/>
    </xf>
    <xf numFmtId="4" fontId="37" fillId="0" borderId="0" xfId="0" applyNumberFormat="1" applyFont="1" applyAlignment="1">
      <alignment horizontal="center" vertical="center"/>
    </xf>
    <xf numFmtId="4" fontId="37" fillId="0" borderId="0" xfId="51" applyNumberFormat="1" applyFont="1" applyAlignment="1">
      <alignment horizontal="center"/>
    </xf>
    <xf numFmtId="4" fontId="37" fillId="0" borderId="0" xfId="0" applyNumberFormat="1" applyFont="1" applyAlignment="1">
      <alignment horizontal="center"/>
    </xf>
    <xf numFmtId="4" fontId="37" fillId="0" borderId="0" xfId="0" applyNumberFormat="1" applyFont="1" applyAlignment="1">
      <alignment horizontal="center" vertical="center" wrapText="1"/>
    </xf>
    <xf numFmtId="4" fontId="37" fillId="2" borderId="11" xfId="0" applyNumberFormat="1" applyFont="1" applyFill="1" applyBorder="1" applyAlignment="1">
      <alignment horizontal="left" vertical="center"/>
    </xf>
    <xf numFmtId="165" fontId="37" fillId="2" borderId="13" xfId="0" applyNumberFormat="1" applyFont="1" applyFill="1" applyBorder="1" applyAlignment="1">
      <alignment vertical="center"/>
    </xf>
    <xf numFmtId="43" fontId="38" fillId="2" borderId="16" xfId="52" applyFont="1" applyFill="1" applyBorder="1" applyAlignment="1">
      <alignment horizontal="center" vertical="center" wrapText="1"/>
    </xf>
    <xf numFmtId="166" fontId="53" fillId="2" borderId="0" xfId="0" applyNumberFormat="1" applyFont="1" applyFill="1" applyAlignment="1">
      <alignment vertical="center"/>
    </xf>
    <xf numFmtId="0" fontId="9" fillId="36" borderId="14" xfId="0" applyFont="1" applyFill="1" applyBorder="1" applyAlignment="1">
      <alignment vertical="center"/>
    </xf>
    <xf numFmtId="0" fontId="6" fillId="0" borderId="20" xfId="0" applyFont="1" applyBorder="1" applyAlignment="1">
      <alignment horizontal="center" vertical="center" wrapText="1"/>
    </xf>
    <xf numFmtId="0" fontId="9" fillId="0" borderId="37" xfId="0" applyFont="1" applyBorder="1" applyAlignment="1">
      <alignment horizontal="right" vertical="center"/>
    </xf>
    <xf numFmtId="0" fontId="49" fillId="0" borderId="0" xfId="0" applyFont="1" applyAlignment="1">
      <alignment vertical="center"/>
    </xf>
    <xf numFmtId="0" fontId="52" fillId="0" borderId="36" xfId="0" applyFont="1" applyBorder="1" applyAlignment="1">
      <alignment horizontal="center" vertical="center"/>
    </xf>
    <xf numFmtId="0" fontId="52" fillId="0" borderId="38" xfId="0" applyFont="1" applyBorder="1" applyAlignment="1">
      <alignment horizontal="center" vertical="center"/>
    </xf>
    <xf numFmtId="0" fontId="11" fillId="39" borderId="9" xfId="0" applyFont="1" applyFill="1" applyBorder="1" applyAlignment="1">
      <alignment horizontal="center" vertical="center" wrapText="1"/>
    </xf>
    <xf numFmtId="0" fontId="11" fillId="39" borderId="8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center"/>
    </xf>
    <xf numFmtId="0" fontId="9" fillId="36" borderId="34" xfId="0" applyFont="1" applyFill="1" applyBorder="1" applyAlignment="1">
      <alignment horizontal="center" vertical="center"/>
    </xf>
    <xf numFmtId="0" fontId="9" fillId="2" borderId="0" xfId="0" applyFont="1" applyFill="1" applyAlignment="1">
      <alignment wrapText="1"/>
    </xf>
    <xf numFmtId="0" fontId="46" fillId="2" borderId="0" xfId="0" applyFont="1" applyFill="1" applyAlignment="1">
      <alignment wrapText="1"/>
    </xf>
    <xf numFmtId="0" fontId="33" fillId="0" borderId="4" xfId="0" applyFont="1" applyBorder="1" applyAlignment="1">
      <alignment horizontal="left" vertical="center"/>
    </xf>
    <xf numFmtId="0" fontId="9" fillId="0" borderId="40" xfId="0" applyFont="1" applyBorder="1"/>
    <xf numFmtId="0" fontId="9" fillId="0" borderId="5" xfId="0" applyFont="1" applyBorder="1"/>
    <xf numFmtId="0" fontId="9" fillId="0" borderId="39" xfId="0" applyFont="1" applyBorder="1"/>
    <xf numFmtId="0" fontId="9" fillId="0" borderId="6" xfId="0" applyFont="1" applyBorder="1"/>
    <xf numFmtId="0" fontId="33" fillId="0" borderId="39" xfId="0" applyFont="1" applyBorder="1" applyAlignment="1">
      <alignment horizontal="left" vertical="center"/>
    </xf>
    <xf numFmtId="0" fontId="2" fillId="38" borderId="0" xfId="0" applyFont="1" applyFill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4" fontId="8" fillId="2" borderId="0" xfId="0" applyNumberFormat="1" applyFont="1" applyFill="1" applyAlignment="1">
      <alignment horizontal="left" vertical="center"/>
    </xf>
    <xf numFmtId="4" fontId="38" fillId="2" borderId="0" xfId="0" applyNumberFormat="1" applyFont="1" applyFill="1" applyAlignment="1">
      <alignment horizontal="center" vertical="center" wrapText="1"/>
    </xf>
    <xf numFmtId="43" fontId="36" fillId="2" borderId="0" xfId="52" applyFont="1" applyFill="1" applyBorder="1" applyAlignment="1">
      <alignment horizontal="center" vertical="center" wrapText="1"/>
    </xf>
    <xf numFmtId="43" fontId="37" fillId="2" borderId="14" xfId="0" applyNumberFormat="1" applyFont="1" applyFill="1" applyBorder="1" applyAlignment="1">
      <alignment vertical="center"/>
    </xf>
    <xf numFmtId="43" fontId="38" fillId="2" borderId="0" xfId="0" applyNumberFormat="1" applyFont="1" applyFill="1" applyAlignment="1">
      <alignment vertical="center"/>
    </xf>
    <xf numFmtId="43" fontId="37" fillId="2" borderId="0" xfId="0" applyNumberFormat="1" applyFont="1" applyFill="1"/>
    <xf numFmtId="4" fontId="9" fillId="0" borderId="0" xfId="0" applyNumberFormat="1" applyFont="1" applyAlignment="1">
      <alignment horizontal="center" vertical="center"/>
    </xf>
    <xf numFmtId="4" fontId="56" fillId="0" borderId="0" xfId="0" applyNumberFormat="1" applyFont="1" applyAlignment="1">
      <alignment horizontal="center" vertical="center"/>
    </xf>
    <xf numFmtId="4" fontId="9" fillId="0" borderId="10" xfId="0" applyNumberFormat="1" applyFont="1" applyBorder="1" applyAlignment="1">
      <alignment vertical="center"/>
    </xf>
    <xf numFmtId="0" fontId="9" fillId="0" borderId="10" xfId="0" applyFont="1" applyBorder="1" applyAlignment="1">
      <alignment horizontal="center" vertical="center"/>
    </xf>
    <xf numFmtId="43" fontId="9" fillId="0" borderId="10" xfId="52" applyFont="1" applyFill="1" applyBorder="1" applyAlignment="1">
      <alignment vertical="center"/>
    </xf>
    <xf numFmtId="0" fontId="51" fillId="34" borderId="2" xfId="0" applyFont="1" applyFill="1" applyBorder="1" applyAlignment="1">
      <alignment horizontal="center" vertical="center" wrapText="1"/>
    </xf>
    <xf numFmtId="0" fontId="51" fillId="34" borderId="3" xfId="0" applyFont="1" applyFill="1" applyBorder="1" applyAlignment="1">
      <alignment horizontal="center" vertical="center" wrapText="1"/>
    </xf>
    <xf numFmtId="0" fontId="51" fillId="34" borderId="22" xfId="0" applyFont="1" applyFill="1" applyBorder="1" applyAlignment="1">
      <alignment horizontal="center" vertical="center" wrapText="1"/>
    </xf>
    <xf numFmtId="0" fontId="51" fillId="34" borderId="22" xfId="0" applyFont="1" applyFill="1" applyBorder="1" applyAlignment="1">
      <alignment horizontal="center" vertical="center"/>
    </xf>
    <xf numFmtId="0" fontId="33" fillId="0" borderId="3" xfId="0" applyFont="1" applyBorder="1" applyAlignment="1">
      <alignment vertical="center" wrapText="1"/>
    </xf>
    <xf numFmtId="0" fontId="5" fillId="0" borderId="18" xfId="0" applyFont="1" applyBorder="1" applyAlignment="1">
      <alignment horizontal="left" vertical="center"/>
    </xf>
    <xf numFmtId="0" fontId="5" fillId="0" borderId="3" xfId="0" applyFont="1" applyBorder="1" applyAlignment="1">
      <alignment vertical="center"/>
    </xf>
    <xf numFmtId="0" fontId="6" fillId="0" borderId="18" xfId="0" applyFont="1" applyBorder="1" applyAlignment="1">
      <alignment horizontal="left" vertical="center"/>
    </xf>
    <xf numFmtId="0" fontId="5" fillId="0" borderId="5" xfId="0" applyFont="1" applyBorder="1" applyAlignment="1">
      <alignment vertical="center"/>
    </xf>
    <xf numFmtId="0" fontId="6" fillId="0" borderId="20" xfId="0" applyFont="1" applyBorder="1" applyAlignment="1">
      <alignment horizontal="center" vertical="center"/>
    </xf>
    <xf numFmtId="0" fontId="33" fillId="0" borderId="20" xfId="0" applyFont="1" applyBorder="1" applyAlignment="1">
      <alignment horizontal="left" vertical="center"/>
    </xf>
    <xf numFmtId="0" fontId="33" fillId="0" borderId="2" xfId="0" applyFont="1" applyBorder="1" applyAlignment="1">
      <alignment horizontal="left" vertical="center"/>
    </xf>
    <xf numFmtId="0" fontId="51" fillId="34" borderId="20" xfId="0" applyFont="1" applyFill="1" applyBorder="1" applyAlignment="1">
      <alignment horizontal="center" vertical="center" wrapText="1"/>
    </xf>
    <xf numFmtId="0" fontId="11" fillId="34" borderId="20" xfId="0" applyFont="1" applyFill="1" applyBorder="1" applyAlignment="1">
      <alignment horizontal="center" vertical="center" wrapText="1"/>
    </xf>
    <xf numFmtId="0" fontId="11" fillId="34" borderId="3" xfId="0" applyFont="1" applyFill="1" applyBorder="1" applyAlignment="1">
      <alignment horizontal="center" vertical="center" wrapText="1"/>
    </xf>
    <xf numFmtId="0" fontId="14" fillId="0" borderId="18" xfId="0" applyFont="1" applyBorder="1" applyAlignment="1">
      <alignment horizontal="justify" vertical="center" wrapText="1"/>
    </xf>
    <xf numFmtId="4" fontId="14" fillId="0" borderId="9" xfId="0" applyNumberFormat="1" applyFont="1" applyBorder="1" applyAlignment="1">
      <alignment horizontal="center" vertical="center" wrapText="1"/>
    </xf>
    <xf numFmtId="0" fontId="33" fillId="0" borderId="1" xfId="0" applyFont="1" applyBorder="1" applyAlignment="1">
      <alignment horizontal="left" vertical="center"/>
    </xf>
    <xf numFmtId="0" fontId="9" fillId="0" borderId="2" xfId="0" applyFont="1" applyBorder="1"/>
    <xf numFmtId="0" fontId="9" fillId="0" borderId="3" xfId="0" applyFont="1" applyBorder="1"/>
    <xf numFmtId="0" fontId="14" fillId="0" borderId="18" xfId="0" applyFont="1" applyBorder="1" applyAlignment="1">
      <alignment horizontal="left" vertical="center" wrapText="1"/>
    </xf>
    <xf numFmtId="0" fontId="14" fillId="0" borderId="3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justify" vertical="center"/>
    </xf>
    <xf numFmtId="0" fontId="14" fillId="0" borderId="18" xfId="0" applyFont="1" applyBorder="1" applyAlignment="1">
      <alignment horizontal="left" vertical="center"/>
    </xf>
    <xf numFmtId="0" fontId="57" fillId="0" borderId="9" xfId="0" applyFont="1" applyBorder="1" applyAlignment="1">
      <alignment horizontal="center" vertical="center"/>
    </xf>
    <xf numFmtId="0" fontId="57" fillId="0" borderId="3" xfId="0" applyFont="1" applyBorder="1" applyAlignment="1">
      <alignment horizontal="justify" vertical="center"/>
    </xf>
    <xf numFmtId="0" fontId="2" fillId="40" borderId="0" xfId="0" applyFont="1" applyFill="1" applyAlignment="1">
      <alignment vertical="center"/>
    </xf>
    <xf numFmtId="43" fontId="37" fillId="2" borderId="14" xfId="52" applyFont="1" applyFill="1" applyBorder="1" applyAlignment="1">
      <alignment horizontal="right" vertical="center"/>
    </xf>
    <xf numFmtId="4" fontId="37" fillId="2" borderId="14" xfId="0" applyNumberFormat="1" applyFont="1" applyFill="1" applyBorder="1" applyAlignment="1">
      <alignment horizontal="left" vertical="center"/>
    </xf>
    <xf numFmtId="4" fontId="37" fillId="2" borderId="14" xfId="0" applyNumberFormat="1" applyFont="1" applyFill="1" applyBorder="1" applyAlignment="1">
      <alignment vertical="center"/>
    </xf>
    <xf numFmtId="43" fontId="37" fillId="2" borderId="14" xfId="52" applyFont="1" applyFill="1" applyBorder="1" applyAlignment="1">
      <alignment horizontal="left" vertical="center"/>
    </xf>
    <xf numFmtId="4" fontId="37" fillId="2" borderId="17" xfId="0" applyNumberFormat="1" applyFont="1" applyFill="1" applyBorder="1" applyAlignment="1">
      <alignment vertical="center"/>
    </xf>
    <xf numFmtId="49" fontId="38" fillId="41" borderId="14" xfId="0" applyNumberFormat="1" applyFont="1" applyFill="1" applyBorder="1" applyAlignment="1">
      <alignment horizontal="center" vertical="center" wrapText="1"/>
    </xf>
    <xf numFmtId="0" fontId="38" fillId="41" borderId="14" xfId="0" applyFont="1" applyFill="1" applyBorder="1" applyAlignment="1">
      <alignment horizontal="center" vertical="center" wrapText="1"/>
    </xf>
    <xf numFmtId="4" fontId="38" fillId="41" borderId="14" xfId="0" applyNumberFormat="1" applyFont="1" applyFill="1" applyBorder="1" applyAlignment="1">
      <alignment horizontal="center" vertical="center" wrapText="1"/>
    </xf>
    <xf numFmtId="4" fontId="38" fillId="41" borderId="14" xfId="0" applyNumberFormat="1" applyFont="1" applyFill="1" applyBorder="1" applyAlignment="1">
      <alignment horizontal="center" vertical="center"/>
    </xf>
    <xf numFmtId="4" fontId="8" fillId="41" borderId="14" xfId="0" applyNumberFormat="1" applyFont="1" applyFill="1" applyBorder="1" applyAlignment="1">
      <alignment horizontal="center" vertical="center"/>
    </xf>
    <xf numFmtId="0" fontId="9" fillId="2" borderId="14" xfId="0" applyFont="1" applyFill="1" applyBorder="1" applyAlignment="1">
      <alignment vertical="center"/>
    </xf>
    <xf numFmtId="0" fontId="8" fillId="2" borderId="7" xfId="0" applyFont="1" applyFill="1" applyBorder="1" applyAlignment="1">
      <alignment horizontal="left" vertical="center"/>
    </xf>
    <xf numFmtId="2" fontId="43" fillId="2" borderId="8" xfId="0" applyNumberFormat="1" applyFont="1" applyFill="1" applyBorder="1" applyAlignment="1">
      <alignment horizontal="left" vertical="center"/>
    </xf>
    <xf numFmtId="0" fontId="8" fillId="2" borderId="8" xfId="0" applyFont="1" applyFill="1" applyBorder="1" applyAlignment="1">
      <alignment vertical="center"/>
    </xf>
    <xf numFmtId="0" fontId="9" fillId="2" borderId="8" xfId="0" applyFont="1" applyFill="1" applyBorder="1" applyAlignment="1">
      <alignment vertical="center"/>
    </xf>
    <xf numFmtId="2" fontId="43" fillId="2" borderId="9" xfId="0" applyNumberFormat="1" applyFont="1" applyFill="1" applyBorder="1" applyAlignment="1">
      <alignment horizontal="center" vertical="center"/>
    </xf>
    <xf numFmtId="4" fontId="38" fillId="2" borderId="0" xfId="0" applyNumberFormat="1" applyFont="1" applyFill="1" applyAlignment="1">
      <alignment horizontal="right" vertical="center"/>
    </xf>
    <xf numFmtId="0" fontId="37" fillId="2" borderId="43" xfId="0" applyFont="1" applyFill="1" applyBorder="1"/>
    <xf numFmtId="0" fontId="37" fillId="0" borderId="12" xfId="0" applyFont="1" applyBorder="1" applyAlignment="1">
      <alignment horizontal="right"/>
    </xf>
    <xf numFmtId="0" fontId="37" fillId="2" borderId="13" xfId="0" applyFont="1" applyFill="1" applyBorder="1"/>
    <xf numFmtId="0" fontId="37" fillId="2" borderId="42" xfId="0" applyFont="1" applyFill="1" applyBorder="1"/>
    <xf numFmtId="0" fontId="37" fillId="2" borderId="13" xfId="0" applyFont="1" applyFill="1" applyBorder="1" applyAlignment="1">
      <alignment vertical="center"/>
    </xf>
    <xf numFmtId="0" fontId="59" fillId="0" borderId="14" xfId="0" applyFont="1" applyBorder="1" applyAlignment="1">
      <alignment horizontal="center" vertical="center" wrapText="1"/>
    </xf>
    <xf numFmtId="0" fontId="58" fillId="0" borderId="14" xfId="0" applyFont="1" applyBorder="1" applyAlignment="1">
      <alignment horizontal="center" vertical="center" wrapText="1"/>
    </xf>
    <xf numFmtId="43" fontId="37" fillId="0" borderId="14" xfId="52" applyFont="1" applyFill="1" applyBorder="1" applyAlignment="1">
      <alignment horizontal="right" vertical="center"/>
    </xf>
    <xf numFmtId="0" fontId="38" fillId="2" borderId="11" xfId="0" applyFont="1" applyFill="1" applyBorder="1" applyAlignment="1">
      <alignment horizontal="right" vertical="center"/>
    </xf>
    <xf numFmtId="0" fontId="38" fillId="2" borderId="17" xfId="0" applyFont="1" applyFill="1" applyBorder="1" applyAlignment="1">
      <alignment horizontal="right" vertical="center"/>
    </xf>
    <xf numFmtId="49" fontId="38" fillId="2" borderId="16" xfId="0" applyNumberFormat="1" applyFont="1" applyFill="1" applyBorder="1" applyAlignment="1">
      <alignment horizontal="center" vertical="center" wrapText="1"/>
    </xf>
    <xf numFmtId="49" fontId="38" fillId="2" borderId="19" xfId="0" applyNumberFormat="1" applyFont="1" applyFill="1" applyBorder="1" applyAlignment="1">
      <alignment horizontal="center" vertical="center" wrapText="1"/>
    </xf>
    <xf numFmtId="166" fontId="38" fillId="2" borderId="14" xfId="0" applyNumberFormat="1" applyFont="1" applyFill="1" applyBorder="1" applyAlignment="1">
      <alignment horizontal="center" vertical="center"/>
    </xf>
    <xf numFmtId="165" fontId="38" fillId="2" borderId="16" xfId="0" applyNumberFormat="1" applyFont="1" applyFill="1" applyBorder="1" applyAlignment="1">
      <alignment horizontal="center" vertical="center" wrapText="1"/>
    </xf>
    <xf numFmtId="165" fontId="44" fillId="2" borderId="0" xfId="0" applyNumberFormat="1" applyFont="1" applyFill="1" applyAlignment="1">
      <alignment horizontal="center" vertical="center"/>
    </xf>
    <xf numFmtId="165" fontId="45" fillId="2" borderId="0" xfId="0" applyNumberFormat="1" applyFont="1" applyFill="1" applyAlignment="1">
      <alignment vertical="center"/>
    </xf>
    <xf numFmtId="4" fontId="37" fillId="0" borderId="14" xfId="0" applyNumberFormat="1" applyFont="1" applyBorder="1" applyAlignment="1">
      <alignment horizontal="center" vertical="center"/>
    </xf>
    <xf numFmtId="165" fontId="44" fillId="2" borderId="0" xfId="0" applyNumberFormat="1" applyFont="1" applyFill="1" applyAlignment="1">
      <alignment horizontal="center" vertical="center" wrapText="1"/>
    </xf>
    <xf numFmtId="167" fontId="37" fillId="2" borderId="0" xfId="0" applyNumberFormat="1" applyFont="1" applyFill="1" applyAlignment="1">
      <alignment vertical="center"/>
    </xf>
    <xf numFmtId="168" fontId="44" fillId="2" borderId="0" xfId="0" applyNumberFormat="1" applyFont="1" applyFill="1" applyAlignment="1">
      <alignment vertical="center"/>
    </xf>
    <xf numFmtId="43" fontId="37" fillId="0" borderId="14" xfId="52" applyFont="1" applyFill="1" applyBorder="1" applyAlignment="1">
      <alignment horizontal="left" vertical="center"/>
    </xf>
    <xf numFmtId="4" fontId="45" fillId="2" borderId="0" xfId="0" applyNumberFormat="1" applyFont="1" applyFill="1" applyAlignment="1">
      <alignment horizontal="center" vertical="center"/>
    </xf>
    <xf numFmtId="0" fontId="38" fillId="2" borderId="11" xfId="0" applyFont="1" applyFill="1" applyBorder="1" applyAlignment="1">
      <alignment horizontal="left" vertical="center"/>
    </xf>
    <xf numFmtId="0" fontId="38" fillId="2" borderId="17" xfId="0" applyFont="1" applyFill="1" applyBorder="1" applyAlignment="1">
      <alignment horizontal="left" vertical="center"/>
    </xf>
    <xf numFmtId="165" fontId="38" fillId="2" borderId="0" xfId="0" applyNumberFormat="1" applyFont="1" applyFill="1" applyAlignment="1">
      <alignment horizontal="center" vertical="center"/>
    </xf>
    <xf numFmtId="0" fontId="38" fillId="2" borderId="11" xfId="0" applyFont="1" applyFill="1" applyBorder="1" applyAlignment="1">
      <alignment horizontal="left" vertical="center" wrapText="1"/>
    </xf>
    <xf numFmtId="0" fontId="38" fillId="2" borderId="17" xfId="0" applyFont="1" applyFill="1" applyBorder="1" applyAlignment="1">
      <alignment horizontal="left" vertical="center" wrapText="1"/>
    </xf>
    <xf numFmtId="4" fontId="42" fillId="2" borderId="0" xfId="0" applyNumberFormat="1" applyFont="1" applyFill="1" applyAlignment="1">
      <alignment horizontal="left" vertical="center"/>
    </xf>
    <xf numFmtId="0" fontId="62" fillId="0" borderId="0" xfId="54" applyFont="1" applyAlignment="1">
      <alignment horizontal="center" vertical="top" wrapText="1"/>
    </xf>
    <xf numFmtId="0" fontId="61" fillId="0" borderId="0" xfId="54" applyAlignment="1">
      <alignment horizontal="left" vertical="center" wrapText="1"/>
    </xf>
    <xf numFmtId="0" fontId="62" fillId="0" borderId="0" xfId="54" applyFont="1" applyAlignment="1">
      <alignment horizontal="right" vertical="top" wrapText="1" indent="2"/>
    </xf>
    <xf numFmtId="0" fontId="61" fillId="0" borderId="0" xfId="54" applyAlignment="1">
      <alignment horizontal="left" vertical="top"/>
    </xf>
    <xf numFmtId="0" fontId="37" fillId="0" borderId="41" xfId="0" applyFont="1" applyBorder="1" applyAlignment="1">
      <alignment horizontal="center"/>
    </xf>
    <xf numFmtId="0" fontId="53" fillId="2" borderId="13" xfId="0" applyFont="1" applyFill="1" applyBorder="1" applyAlignment="1">
      <alignment horizontal="left" vertical="center"/>
    </xf>
    <xf numFmtId="0" fontId="59" fillId="0" borderId="14" xfId="0" applyFont="1" applyBorder="1" applyAlignment="1">
      <alignment horizontal="left" vertical="center" wrapText="1"/>
    </xf>
    <xf numFmtId="0" fontId="58" fillId="0" borderId="14" xfId="0" applyFont="1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67" fillId="0" borderId="0" xfId="0" applyFont="1" applyAlignment="1">
      <alignment horizontal="center" vertical="top" readingOrder="1"/>
    </xf>
    <xf numFmtId="0" fontId="67" fillId="0" borderId="0" xfId="0" applyFont="1" applyAlignment="1">
      <alignment horizontal="right" vertical="top" readingOrder="1"/>
    </xf>
    <xf numFmtId="0" fontId="68" fillId="0" borderId="0" xfId="0" applyFont="1" applyAlignment="1">
      <alignment horizontal="left" vertical="top" readingOrder="1"/>
    </xf>
    <xf numFmtId="0" fontId="68" fillId="0" borderId="0" xfId="0" applyFont="1" applyAlignment="1">
      <alignment horizontal="center" vertical="top" readingOrder="1"/>
    </xf>
    <xf numFmtId="176" fontId="68" fillId="0" borderId="0" xfId="0" applyNumberFormat="1" applyFont="1" applyAlignment="1">
      <alignment horizontal="right" vertical="top" readingOrder="1"/>
    </xf>
    <xf numFmtId="0" fontId="9" fillId="42" borderId="0" xfId="0" applyFont="1" applyFill="1"/>
    <xf numFmtId="0" fontId="68" fillId="0" borderId="11" xfId="55" applyFont="1" applyBorder="1" applyAlignment="1">
      <alignment horizontal="left" vertical="top" readingOrder="1"/>
    </xf>
    <xf numFmtId="0" fontId="68" fillId="0" borderId="11" xfId="55" applyFont="1" applyBorder="1" applyAlignment="1">
      <alignment horizontal="center" vertical="top" readingOrder="1"/>
    </xf>
    <xf numFmtId="176" fontId="68" fillId="0" borderId="11" xfId="55" applyNumberFormat="1" applyFont="1" applyBorder="1" applyAlignment="1">
      <alignment horizontal="right" vertical="top" readingOrder="1"/>
    </xf>
    <xf numFmtId="0" fontId="45" fillId="0" borderId="0" xfId="0" applyFont="1"/>
    <xf numFmtId="4" fontId="45" fillId="0" borderId="0" xfId="0" applyNumberFormat="1" applyFont="1"/>
    <xf numFmtId="0" fontId="32" fillId="0" borderId="0" xfId="48"/>
    <xf numFmtId="165" fontId="38" fillId="2" borderId="13" xfId="0" applyNumberFormat="1" applyFont="1" applyFill="1" applyBorder="1" applyAlignment="1">
      <alignment horizontal="center" vertical="center"/>
    </xf>
    <xf numFmtId="165" fontId="44" fillId="2" borderId="42" xfId="0" applyNumberFormat="1" applyFont="1" applyFill="1" applyBorder="1" applyAlignment="1">
      <alignment horizontal="center" vertical="center"/>
    </xf>
    <xf numFmtId="165" fontId="38" fillId="2" borderId="21" xfId="0" applyNumberFormat="1" applyFont="1" applyFill="1" applyBorder="1" applyAlignment="1">
      <alignment horizontal="center" vertical="center"/>
    </xf>
    <xf numFmtId="4" fontId="8" fillId="2" borderId="14" xfId="0" applyNumberFormat="1" applyFont="1" applyFill="1" applyBorder="1" applyAlignment="1">
      <alignment horizontal="center" vertical="center"/>
    </xf>
    <xf numFmtId="0" fontId="9" fillId="2" borderId="14" xfId="0" applyFont="1" applyFill="1" applyBorder="1"/>
    <xf numFmtId="4" fontId="9" fillId="2" borderId="14" xfId="0" applyNumberFormat="1" applyFont="1" applyFill="1" applyBorder="1"/>
    <xf numFmtId="43" fontId="37" fillId="2" borderId="15" xfId="52" applyFont="1" applyFill="1" applyBorder="1" applyAlignment="1">
      <alignment horizontal="center" vertical="center"/>
    </xf>
    <xf numFmtId="4" fontId="9" fillId="0" borderId="14" xfId="0" applyNumberFormat="1" applyFont="1" applyBorder="1"/>
    <xf numFmtId="49" fontId="37" fillId="2" borderId="14" xfId="0" applyNumberFormat="1" applyFont="1" applyFill="1" applyBorder="1" applyAlignment="1">
      <alignment vertical="center" wrapText="1"/>
    </xf>
    <xf numFmtId="0" fontId="32" fillId="0" borderId="0" xfId="48" applyAlignment="1">
      <alignment horizontal="center" readingOrder="1"/>
    </xf>
    <xf numFmtId="169" fontId="37" fillId="2" borderId="14" xfId="0" applyNumberFormat="1" applyFont="1" applyFill="1" applyBorder="1" applyAlignment="1">
      <alignment vertical="center"/>
    </xf>
    <xf numFmtId="2" fontId="2" fillId="40" borderId="0" xfId="0" applyNumberFormat="1" applyFont="1" applyFill="1" applyAlignment="1">
      <alignment vertical="center"/>
    </xf>
    <xf numFmtId="0" fontId="37" fillId="0" borderId="14" xfId="0" applyFont="1" applyBorder="1" applyAlignment="1">
      <alignment horizontal="left" vertical="center" wrapText="1"/>
    </xf>
    <xf numFmtId="0" fontId="68" fillId="0" borderId="0" xfId="0" applyFont="1" applyAlignment="1">
      <alignment horizontal="right" vertical="top" readingOrder="1"/>
    </xf>
    <xf numFmtId="0" fontId="70" fillId="0" borderId="0" xfId="0" applyFont="1"/>
    <xf numFmtId="0" fontId="70" fillId="0" borderId="0" xfId="0" applyFont="1" applyAlignment="1">
      <alignment horizontal="center" readingOrder="1"/>
    </xf>
    <xf numFmtId="0" fontId="58" fillId="0" borderId="0" xfId="0" applyFont="1" applyAlignment="1">
      <alignment horizontal="right" readingOrder="1"/>
    </xf>
    <xf numFmtId="0" fontId="58" fillId="0" borderId="0" xfId="0" applyFont="1" applyAlignment="1">
      <alignment horizontal="center" readingOrder="1"/>
    </xf>
    <xf numFmtId="0" fontId="37" fillId="0" borderId="43" xfId="0" applyFont="1" applyBorder="1" applyAlignment="1">
      <alignment vertical="center"/>
    </xf>
    <xf numFmtId="0" fontId="37" fillId="0" borderId="12" xfId="0" applyFont="1" applyBorder="1" applyAlignment="1">
      <alignment horizontal="center" vertical="center"/>
    </xf>
    <xf numFmtId="0" fontId="37" fillId="0" borderId="12" xfId="0" applyFont="1" applyBorder="1" applyAlignment="1">
      <alignment vertical="center"/>
    </xf>
    <xf numFmtId="167" fontId="37" fillId="2" borderId="12" xfId="0" applyNumberFormat="1" applyFont="1" applyFill="1" applyBorder="1" applyAlignment="1">
      <alignment vertical="center"/>
    </xf>
    <xf numFmtId="0" fontId="38" fillId="0" borderId="12" xfId="0" applyFont="1" applyBorder="1" applyAlignment="1">
      <alignment horizontal="right" vertical="center"/>
    </xf>
    <xf numFmtId="168" fontId="38" fillId="0" borderId="41" xfId="0" applyNumberFormat="1" applyFont="1" applyBorder="1" applyAlignment="1">
      <alignment vertical="center"/>
    </xf>
    <xf numFmtId="0" fontId="72" fillId="0" borderId="0" xfId="0" applyFont="1" applyAlignment="1">
      <alignment horizontal="center" vertical="top" wrapText="1"/>
    </xf>
    <xf numFmtId="0" fontId="72" fillId="0" borderId="0" xfId="0" applyFont="1" applyAlignment="1">
      <alignment horizontal="left" vertical="top" wrapText="1" indent="1"/>
    </xf>
    <xf numFmtId="0" fontId="72" fillId="0" borderId="0" xfId="0" applyFont="1" applyAlignment="1">
      <alignment horizontal="left" vertical="top" wrapText="1"/>
    </xf>
    <xf numFmtId="0" fontId="73" fillId="0" borderId="0" xfId="0" applyFont="1" applyAlignment="1">
      <alignment horizontal="center" vertical="top" wrapText="1"/>
    </xf>
    <xf numFmtId="0" fontId="73" fillId="0" borderId="0" xfId="0" applyFont="1" applyAlignment="1">
      <alignment vertical="top" wrapText="1"/>
    </xf>
    <xf numFmtId="173" fontId="73" fillId="0" borderId="0" xfId="0" applyNumberFormat="1" applyFont="1" applyAlignment="1">
      <alignment horizontal="right" vertical="top" wrapText="1"/>
    </xf>
    <xf numFmtId="174" fontId="73" fillId="0" borderId="0" xfId="0" applyNumberFormat="1" applyFont="1" applyAlignment="1">
      <alignment horizontal="center" vertical="top" wrapText="1"/>
    </xf>
    <xf numFmtId="174" fontId="73" fillId="0" borderId="0" xfId="0" applyNumberFormat="1" applyFont="1" applyAlignment="1">
      <alignment horizontal="left" vertical="top" wrapText="1" indent="2"/>
    </xf>
    <xf numFmtId="175" fontId="73" fillId="0" borderId="0" xfId="0" applyNumberFormat="1" applyFont="1" applyAlignment="1">
      <alignment horizontal="right" vertical="top" wrapText="1"/>
    </xf>
    <xf numFmtId="0" fontId="73" fillId="0" borderId="0" xfId="0" applyFont="1" applyAlignment="1">
      <alignment horizontal="left" vertical="top" wrapText="1"/>
    </xf>
    <xf numFmtId="0" fontId="37" fillId="0" borderId="15" xfId="0" applyFont="1" applyBorder="1" applyAlignment="1">
      <alignment vertical="center" wrapText="1"/>
    </xf>
    <xf numFmtId="0" fontId="32" fillId="0" borderId="0" xfId="48" applyAlignment="1">
      <alignment horizontal="center"/>
    </xf>
    <xf numFmtId="0" fontId="72" fillId="0" borderId="0" xfId="0" applyFont="1" applyAlignment="1">
      <alignment vertical="top" wrapText="1"/>
    </xf>
    <xf numFmtId="2" fontId="9" fillId="2" borderId="14" xfId="0" applyNumberFormat="1" applyFont="1" applyFill="1" applyBorder="1"/>
    <xf numFmtId="0" fontId="67" fillId="0" borderId="0" xfId="0" applyFont="1" applyAlignment="1">
      <alignment horizontal="left" vertical="top" readingOrder="1"/>
    </xf>
    <xf numFmtId="43" fontId="58" fillId="0" borderId="14" xfId="52" applyFont="1" applyBorder="1" applyAlignment="1">
      <alignment horizontal="right" vertical="center" wrapText="1"/>
    </xf>
    <xf numFmtId="43" fontId="58" fillId="0" borderId="14" xfId="52" applyFont="1" applyBorder="1" applyAlignment="1">
      <alignment horizontal="center" vertical="center" wrapText="1"/>
    </xf>
    <xf numFmtId="43" fontId="58" fillId="0" borderId="19" xfId="52" applyFont="1" applyBorder="1" applyAlignment="1">
      <alignment horizontal="center" vertical="center"/>
    </xf>
    <xf numFmtId="43" fontId="59" fillId="0" borderId="19" xfId="52" applyFont="1" applyBorder="1" applyAlignment="1">
      <alignment horizontal="center" vertical="center"/>
    </xf>
    <xf numFmtId="0" fontId="68" fillId="36" borderId="0" xfId="0" applyFont="1" applyFill="1" applyAlignment="1">
      <alignment horizontal="left" vertical="top" readingOrder="1"/>
    </xf>
    <xf numFmtId="0" fontId="32" fillId="36" borderId="0" xfId="0" applyFont="1" applyFill="1" applyAlignment="1">
      <alignment horizontal="left" vertical="top" readingOrder="1"/>
    </xf>
    <xf numFmtId="0" fontId="37" fillId="2" borderId="14" xfId="0" applyFont="1" applyFill="1" applyBorder="1" applyAlignment="1">
      <alignment horizontal="left" vertical="center" wrapText="1"/>
    </xf>
    <xf numFmtId="0" fontId="37" fillId="0" borderId="14" xfId="0" applyFont="1" applyBorder="1" applyAlignment="1">
      <alignment horizontal="left" vertical="center"/>
    </xf>
    <xf numFmtId="43" fontId="37" fillId="0" borderId="14" xfId="0" applyNumberFormat="1" applyFont="1" applyBorder="1" applyAlignment="1">
      <alignment vertical="center"/>
    </xf>
    <xf numFmtId="0" fontId="46" fillId="0" borderId="0" xfId="0" applyFont="1"/>
    <xf numFmtId="0" fontId="43" fillId="0" borderId="0" xfId="0" applyFont="1"/>
    <xf numFmtId="0" fontId="9" fillId="0" borderId="0" xfId="0" applyFont="1" applyAlignment="1">
      <alignment wrapText="1"/>
    </xf>
    <xf numFmtId="0" fontId="46" fillId="0" borderId="0" xfId="0" applyFont="1" applyAlignment="1">
      <alignment wrapText="1"/>
    </xf>
    <xf numFmtId="0" fontId="11" fillId="39" borderId="6" xfId="0" applyFont="1" applyFill="1" applyBorder="1" applyAlignment="1">
      <alignment horizontal="center" vertical="center" wrapText="1"/>
    </xf>
    <xf numFmtId="0" fontId="11" fillId="39" borderId="9" xfId="0" applyFont="1" applyFill="1" applyBorder="1" applyAlignment="1">
      <alignment horizontal="center" vertical="center" wrapText="1"/>
    </xf>
    <xf numFmtId="0" fontId="11" fillId="39" borderId="7" xfId="0" applyFont="1" applyFill="1" applyBorder="1" applyAlignment="1">
      <alignment horizontal="center" vertical="center" wrapText="1"/>
    </xf>
    <xf numFmtId="0" fontId="11" fillId="39" borderId="8" xfId="0" applyFont="1" applyFill="1" applyBorder="1" applyAlignment="1">
      <alignment horizontal="center" vertical="center" wrapText="1"/>
    </xf>
    <xf numFmtId="0" fontId="11" fillId="39" borderId="22" xfId="0" applyFont="1" applyFill="1" applyBorder="1" applyAlignment="1">
      <alignment horizontal="center" vertical="center" wrapText="1"/>
    </xf>
    <xf numFmtId="0" fontId="11" fillId="39" borderId="18" xfId="0" applyFont="1" applyFill="1" applyBorder="1" applyAlignment="1">
      <alignment horizontal="center" vertical="center" wrapText="1"/>
    </xf>
    <xf numFmtId="0" fontId="11" fillId="39" borderId="1" xfId="0" applyFont="1" applyFill="1" applyBorder="1" applyAlignment="1">
      <alignment horizontal="center" vertical="center" wrapText="1"/>
    </xf>
    <xf numFmtId="0" fontId="11" fillId="39" borderId="2" xfId="0" applyFont="1" applyFill="1" applyBorder="1" applyAlignment="1">
      <alignment horizontal="center" vertical="center" wrapText="1"/>
    </xf>
    <xf numFmtId="0" fontId="11" fillId="39" borderId="3" xfId="0" applyFont="1" applyFill="1" applyBorder="1" applyAlignment="1">
      <alignment horizontal="center" vertical="center" wrapText="1"/>
    </xf>
    <xf numFmtId="0" fontId="51" fillId="34" borderId="22" xfId="0" applyFont="1" applyFill="1" applyBorder="1" applyAlignment="1">
      <alignment horizontal="center" vertical="center" wrapText="1"/>
    </xf>
    <xf numFmtId="0" fontId="51" fillId="34" borderId="32" xfId="0" applyFont="1" applyFill="1" applyBorder="1" applyAlignment="1">
      <alignment horizontal="center" vertical="center" wrapText="1"/>
    </xf>
    <xf numFmtId="0" fontId="51" fillId="34" borderId="18" xfId="0" applyFont="1" applyFill="1" applyBorder="1" applyAlignment="1">
      <alignment horizontal="center" vertical="center" wrapText="1"/>
    </xf>
    <xf numFmtId="0" fontId="51" fillId="34" borderId="5" xfId="0" applyFont="1" applyFill="1" applyBorder="1" applyAlignment="1">
      <alignment horizontal="center" vertical="center" wrapText="1"/>
    </xf>
    <xf numFmtId="0" fontId="51" fillId="34" borderId="6" xfId="0" applyFont="1" applyFill="1" applyBorder="1" applyAlignment="1">
      <alignment horizontal="center" vertical="center" wrapText="1"/>
    </xf>
    <xf numFmtId="0" fontId="51" fillId="34" borderId="9" xfId="0" applyFont="1" applyFill="1" applyBorder="1" applyAlignment="1">
      <alignment horizontal="center" vertical="center" wrapText="1"/>
    </xf>
    <xf numFmtId="0" fontId="51" fillId="34" borderId="22" xfId="0" applyFont="1" applyFill="1" applyBorder="1" applyAlignment="1">
      <alignment horizontal="center" vertical="center"/>
    </xf>
    <xf numFmtId="0" fontId="51" fillId="34" borderId="32" xfId="0" applyFont="1" applyFill="1" applyBorder="1" applyAlignment="1">
      <alignment horizontal="center" vertical="center"/>
    </xf>
    <xf numFmtId="0" fontId="51" fillId="34" borderId="18" xfId="0" applyFont="1" applyFill="1" applyBorder="1" applyAlignment="1">
      <alignment horizontal="center" vertical="center"/>
    </xf>
    <xf numFmtId="0" fontId="11" fillId="34" borderId="7" xfId="0" applyFont="1" applyFill="1" applyBorder="1" applyAlignment="1">
      <alignment horizontal="center" vertical="center" wrapText="1"/>
    </xf>
    <xf numFmtId="0" fontId="11" fillId="34" borderId="9" xfId="0" applyFont="1" applyFill="1" applyBorder="1" applyAlignment="1">
      <alignment horizontal="center" vertical="center" wrapText="1"/>
    </xf>
    <xf numFmtId="0" fontId="58" fillId="0" borderId="39" xfId="0" applyFont="1" applyBorder="1" applyAlignment="1">
      <alignment horizontal="center" vertical="center" wrapText="1"/>
    </xf>
    <xf numFmtId="0" fontId="58" fillId="0" borderId="0" xfId="0" applyFont="1" applyAlignment="1">
      <alignment horizontal="center" vertical="center" wrapText="1"/>
    </xf>
    <xf numFmtId="0" fontId="51" fillId="34" borderId="1" xfId="0" applyFont="1" applyFill="1" applyBorder="1" applyAlignment="1">
      <alignment horizontal="center" vertical="center" wrapText="1"/>
    </xf>
    <xf numFmtId="0" fontId="51" fillId="34" borderId="2" xfId="0" applyFont="1" applyFill="1" applyBorder="1" applyAlignment="1">
      <alignment horizontal="center" vertical="center" wrapText="1"/>
    </xf>
    <xf numFmtId="0" fontId="51" fillId="34" borderId="3" xfId="0" applyFont="1" applyFill="1" applyBorder="1" applyAlignment="1">
      <alignment horizontal="center" vertical="center" wrapText="1"/>
    </xf>
    <xf numFmtId="0" fontId="51" fillId="34" borderId="4" xfId="0" applyFont="1" applyFill="1" applyBorder="1" applyAlignment="1">
      <alignment horizontal="center" vertical="center" wrapText="1"/>
    </xf>
    <xf numFmtId="0" fontId="51" fillId="34" borderId="7" xfId="0" applyFont="1" applyFill="1" applyBorder="1" applyAlignment="1">
      <alignment horizontal="center" vertical="center" wrapText="1"/>
    </xf>
    <xf numFmtId="0" fontId="51" fillId="34" borderId="1" xfId="0" applyFont="1" applyFill="1" applyBorder="1" applyAlignment="1">
      <alignment horizontal="center" vertical="center"/>
    </xf>
    <xf numFmtId="0" fontId="51" fillId="34" borderId="2" xfId="0" applyFont="1" applyFill="1" applyBorder="1" applyAlignment="1">
      <alignment horizontal="center" vertical="center"/>
    </xf>
    <xf numFmtId="0" fontId="51" fillId="34" borderId="3" xfId="0" applyFont="1" applyFill="1" applyBorder="1" applyAlignment="1">
      <alignment horizontal="center" vertical="center"/>
    </xf>
    <xf numFmtId="0" fontId="11" fillId="34" borderId="6" xfId="0" applyFont="1" applyFill="1" applyBorder="1" applyAlignment="1">
      <alignment horizontal="center" vertical="center" wrapText="1"/>
    </xf>
    <xf numFmtId="0" fontId="12" fillId="34" borderId="7" xfId="0" applyFont="1" applyFill="1" applyBorder="1" applyAlignment="1">
      <alignment horizontal="center" vertical="center" wrapText="1"/>
    </xf>
    <xf numFmtId="0" fontId="12" fillId="34" borderId="8" xfId="0" applyFont="1" applyFill="1" applyBorder="1" applyAlignment="1">
      <alignment horizontal="center" vertical="center" wrapText="1"/>
    </xf>
    <xf numFmtId="0" fontId="11" fillId="34" borderId="32" xfId="0" applyFont="1" applyFill="1" applyBorder="1" applyAlignment="1">
      <alignment horizontal="center" vertical="center" wrapText="1"/>
    </xf>
    <xf numFmtId="0" fontId="11" fillId="34" borderId="18" xfId="0" applyFont="1" applyFill="1" applyBorder="1" applyAlignment="1">
      <alignment horizontal="center" vertical="center" wrapText="1"/>
    </xf>
    <xf numFmtId="0" fontId="12" fillId="34" borderId="9" xfId="0" applyFont="1" applyFill="1" applyBorder="1" applyAlignment="1">
      <alignment horizontal="center" vertical="center" wrapText="1"/>
    </xf>
    <xf numFmtId="0" fontId="66" fillId="0" borderId="0" xfId="48" applyFont="1" applyAlignment="1">
      <alignment horizontal="center" vertical="center" wrapText="1" readingOrder="1"/>
    </xf>
    <xf numFmtId="0" fontId="67" fillId="0" borderId="0" xfId="0" applyFont="1" applyAlignment="1">
      <alignment horizontal="left" vertical="top" readingOrder="1"/>
    </xf>
    <xf numFmtId="0" fontId="64" fillId="0" borderId="0" xfId="54" applyFont="1" applyAlignment="1">
      <alignment horizontal="left" vertical="top" wrapText="1" indent="8"/>
    </xf>
    <xf numFmtId="0" fontId="71" fillId="0" borderId="0" xfId="0" applyFont="1" applyAlignment="1">
      <alignment horizontal="center" vertical="top" wrapText="1"/>
    </xf>
    <xf numFmtId="0" fontId="59" fillId="0" borderId="19" xfId="0" applyFont="1" applyBorder="1" applyAlignment="1">
      <alignment horizontal="right" vertical="center"/>
    </xf>
    <xf numFmtId="0" fontId="2" fillId="40" borderId="16" xfId="0" applyFont="1" applyFill="1" applyBorder="1" applyAlignment="1">
      <alignment horizontal="center" vertical="center"/>
    </xf>
    <xf numFmtId="0" fontId="58" fillId="0" borderId="19" xfId="0" applyFont="1" applyBorder="1" applyAlignment="1">
      <alignment horizontal="right" vertical="center"/>
    </xf>
    <xf numFmtId="0" fontId="4" fillId="37" borderId="15" xfId="0" applyFont="1" applyFill="1" applyBorder="1" applyAlignment="1">
      <alignment horizontal="right" vertical="center"/>
    </xf>
    <xf numFmtId="0" fontId="4" fillId="37" borderId="11" xfId="0" applyFont="1" applyFill="1" applyBorder="1" applyAlignment="1">
      <alignment horizontal="right" vertical="center"/>
    </xf>
    <xf numFmtId="0" fontId="4" fillId="37" borderId="17" xfId="0" applyFont="1" applyFill="1" applyBorder="1" applyAlignment="1">
      <alignment horizontal="right" vertical="center"/>
    </xf>
    <xf numFmtId="0" fontId="54" fillId="37" borderId="15" xfId="0" applyFont="1" applyFill="1" applyBorder="1" applyAlignment="1">
      <alignment horizontal="center" vertical="center"/>
    </xf>
    <xf numFmtId="0" fontId="54" fillId="37" borderId="11" xfId="0" applyFont="1" applyFill="1" applyBorder="1" applyAlignment="1">
      <alignment horizontal="center" vertical="center"/>
    </xf>
    <xf numFmtId="0" fontId="54" fillId="37" borderId="17" xfId="0" applyFont="1" applyFill="1" applyBorder="1" applyAlignment="1">
      <alignment horizontal="center" vertical="center"/>
    </xf>
    <xf numFmtId="0" fontId="54" fillId="0" borderId="15" xfId="0" applyFont="1" applyBorder="1" applyAlignment="1">
      <alignment horizontal="center" vertical="center"/>
    </xf>
    <xf numFmtId="0" fontId="54" fillId="0" borderId="11" xfId="0" applyFont="1" applyBorder="1" applyAlignment="1">
      <alignment horizontal="center" vertical="center"/>
    </xf>
    <xf numFmtId="0" fontId="54" fillId="0" borderId="17" xfId="0" applyFont="1" applyBorder="1" applyAlignment="1">
      <alignment horizontal="center" vertical="center"/>
    </xf>
    <xf numFmtId="0" fontId="38" fillId="2" borderId="15" xfId="0" applyFont="1" applyFill="1" applyBorder="1" applyAlignment="1">
      <alignment horizontal="right" vertical="center"/>
    </xf>
    <xf numFmtId="0" fontId="38" fillId="2" borderId="11" xfId="0" applyFont="1" applyFill="1" applyBorder="1" applyAlignment="1">
      <alignment horizontal="right" vertical="center"/>
    </xf>
    <xf numFmtId="0" fontId="38" fillId="2" borderId="17" xfId="0" applyFont="1" applyFill="1" applyBorder="1" applyAlignment="1">
      <alignment horizontal="right" vertical="center"/>
    </xf>
    <xf numFmtId="4" fontId="8" fillId="2" borderId="16" xfId="0" applyNumberFormat="1" applyFont="1" applyFill="1" applyBorder="1" applyAlignment="1">
      <alignment horizontal="center" vertical="center"/>
    </xf>
    <xf numFmtId="4" fontId="8" fillId="2" borderId="19" xfId="0" applyNumberFormat="1" applyFont="1" applyFill="1" applyBorder="1" applyAlignment="1">
      <alignment horizontal="center" vertical="center"/>
    </xf>
    <xf numFmtId="49" fontId="38" fillId="2" borderId="16" xfId="0" applyNumberFormat="1" applyFont="1" applyFill="1" applyBorder="1" applyAlignment="1">
      <alignment horizontal="center" vertical="center" wrapText="1"/>
    </xf>
    <xf numFmtId="49" fontId="38" fillId="2" borderId="19" xfId="0" applyNumberFormat="1" applyFont="1" applyFill="1" applyBorder="1" applyAlignment="1">
      <alignment horizontal="center" vertical="center" wrapText="1"/>
    </xf>
    <xf numFmtId="0" fontId="38" fillId="2" borderId="16" xfId="0" applyFont="1" applyFill="1" applyBorder="1" applyAlignment="1">
      <alignment horizontal="left" vertical="center" wrapText="1"/>
    </xf>
    <xf numFmtId="0" fontId="38" fillId="2" borderId="19" xfId="0" applyFont="1" applyFill="1" applyBorder="1" applyAlignment="1">
      <alignment horizontal="left" vertical="center" wrapText="1"/>
    </xf>
    <xf numFmtId="4" fontId="38" fillId="0" borderId="16" xfId="0" applyNumberFormat="1" applyFont="1" applyBorder="1" applyAlignment="1">
      <alignment horizontal="center" vertical="center" wrapText="1"/>
    </xf>
    <xf numFmtId="4" fontId="38" fillId="0" borderId="19" xfId="0" applyNumberFormat="1" applyFont="1" applyBorder="1" applyAlignment="1">
      <alignment horizontal="center" vertical="center" wrapText="1"/>
    </xf>
    <xf numFmtId="4" fontId="38" fillId="2" borderId="16" xfId="0" applyNumberFormat="1" applyFont="1" applyFill="1" applyBorder="1" applyAlignment="1">
      <alignment horizontal="center" vertical="center" wrapText="1"/>
    </xf>
    <xf numFmtId="4" fontId="38" fillId="2" borderId="19" xfId="0" applyNumberFormat="1" applyFont="1" applyFill="1" applyBorder="1" applyAlignment="1">
      <alignment horizontal="center" vertical="center" wrapText="1"/>
    </xf>
    <xf numFmtId="4" fontId="8" fillId="2" borderId="14" xfId="0" applyNumberFormat="1" applyFont="1" applyFill="1" applyBorder="1" applyAlignment="1">
      <alignment horizontal="center" vertical="center"/>
    </xf>
    <xf numFmtId="4" fontId="8" fillId="2" borderId="16" xfId="0" applyNumberFormat="1" applyFont="1" applyFill="1" applyBorder="1" applyAlignment="1">
      <alignment horizontal="center" vertical="center" wrapText="1"/>
    </xf>
    <xf numFmtId="4" fontId="8" fillId="2" borderId="19" xfId="0" applyNumberFormat="1" applyFont="1" applyFill="1" applyBorder="1" applyAlignment="1">
      <alignment horizontal="center" vertical="center" wrapText="1"/>
    </xf>
    <xf numFmtId="0" fontId="37" fillId="2" borderId="16" xfId="0" applyFont="1" applyFill="1" applyBorder="1" applyAlignment="1">
      <alignment horizontal="center" vertical="center" wrapText="1"/>
    </xf>
    <xf numFmtId="0" fontId="37" fillId="2" borderId="19" xfId="0" applyFont="1" applyFill="1" applyBorder="1" applyAlignment="1">
      <alignment horizontal="center" vertical="center" wrapText="1"/>
    </xf>
    <xf numFmtId="4" fontId="38" fillId="2" borderId="16" xfId="0" applyNumberFormat="1" applyFont="1" applyFill="1" applyBorder="1" applyAlignment="1">
      <alignment horizontal="center" vertical="center"/>
    </xf>
    <xf numFmtId="4" fontId="38" fillId="2" borderId="19" xfId="0" applyNumberFormat="1" applyFont="1" applyFill="1" applyBorder="1" applyAlignment="1">
      <alignment horizontal="center" vertical="center"/>
    </xf>
    <xf numFmtId="4" fontId="38" fillId="2" borderId="15" xfId="0" applyNumberFormat="1" applyFont="1" applyFill="1" applyBorder="1" applyAlignment="1">
      <alignment horizontal="center" vertical="center"/>
    </xf>
    <xf numFmtId="4" fontId="38" fillId="2" borderId="17" xfId="0" applyNumberFormat="1" applyFont="1" applyFill="1" applyBorder="1" applyAlignment="1">
      <alignment horizontal="center" vertical="center"/>
    </xf>
    <xf numFmtId="165" fontId="43" fillId="2" borderId="4" xfId="0" applyNumberFormat="1" applyFont="1" applyFill="1" applyBorder="1" applyAlignment="1">
      <alignment horizontal="center" vertical="center" wrapText="1"/>
    </xf>
    <xf numFmtId="165" fontId="43" fillId="2" borderId="5" xfId="0" applyNumberFormat="1" applyFont="1" applyFill="1" applyBorder="1" applyAlignment="1">
      <alignment horizontal="center" vertical="center" wrapText="1"/>
    </xf>
    <xf numFmtId="165" fontId="43" fillId="2" borderId="39" xfId="0" applyNumberFormat="1" applyFont="1" applyFill="1" applyBorder="1" applyAlignment="1">
      <alignment horizontal="center" vertical="center" wrapText="1"/>
    </xf>
    <xf numFmtId="165" fontId="43" fillId="2" borderId="6" xfId="0" applyNumberFormat="1" applyFont="1" applyFill="1" applyBorder="1" applyAlignment="1">
      <alignment horizontal="center" vertical="center" wrapText="1"/>
    </xf>
    <xf numFmtId="165" fontId="43" fillId="2" borderId="7" xfId="0" applyNumberFormat="1" applyFont="1" applyFill="1" applyBorder="1" applyAlignment="1">
      <alignment horizontal="center" vertical="center" wrapText="1"/>
    </xf>
    <xf numFmtId="165" fontId="43" fillId="2" borderId="9" xfId="0" applyNumberFormat="1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/>
    </xf>
    <xf numFmtId="0" fontId="8" fillId="2" borderId="40" xfId="0" applyFont="1" applyFill="1" applyBorder="1" applyAlignment="1">
      <alignment horizontal="center" vertical="center"/>
    </xf>
    <xf numFmtId="0" fontId="8" fillId="2" borderId="5" xfId="0" applyFont="1" applyFill="1" applyBorder="1" applyAlignment="1">
      <alignment horizontal="center" vertical="center"/>
    </xf>
    <xf numFmtId="0" fontId="55" fillId="38" borderId="0" xfId="0" applyFont="1" applyFill="1" applyAlignment="1">
      <alignment horizontal="center" vertical="center" wrapText="1"/>
    </xf>
    <xf numFmtId="0" fontId="37" fillId="2" borderId="43" xfId="0" applyFont="1" applyFill="1" applyBorder="1" applyAlignment="1">
      <alignment horizontal="left" vertical="center"/>
    </xf>
    <xf numFmtId="0" fontId="37" fillId="2" borderId="12" xfId="0" applyFont="1" applyFill="1" applyBorder="1" applyAlignment="1">
      <alignment horizontal="left" vertical="center"/>
    </xf>
    <xf numFmtId="0" fontId="37" fillId="2" borderId="41" xfId="0" applyFont="1" applyFill="1" applyBorder="1" applyAlignment="1">
      <alignment horizontal="left" vertical="center"/>
    </xf>
    <xf numFmtId="0" fontId="37" fillId="2" borderId="13" xfId="0" applyFont="1" applyFill="1" applyBorder="1" applyAlignment="1">
      <alignment horizontal="left" vertical="center"/>
    </xf>
    <xf numFmtId="0" fontId="37" fillId="2" borderId="0" xfId="0" applyFont="1" applyFill="1" applyAlignment="1">
      <alignment horizontal="left" vertical="center"/>
    </xf>
    <xf numFmtId="0" fontId="37" fillId="2" borderId="42" xfId="0" applyFont="1" applyFill="1" applyBorder="1" applyAlignment="1">
      <alignment horizontal="left" vertical="center"/>
    </xf>
    <xf numFmtId="0" fontId="38" fillId="2" borderId="15" xfId="0" applyFont="1" applyFill="1" applyBorder="1" applyAlignment="1">
      <alignment horizontal="left" vertical="center"/>
    </xf>
    <xf numFmtId="0" fontId="38" fillId="2" borderId="11" xfId="0" applyFont="1" applyFill="1" applyBorder="1" applyAlignment="1">
      <alignment horizontal="left" vertical="center"/>
    </xf>
    <xf numFmtId="0" fontId="38" fillId="2" borderId="17" xfId="0" applyFont="1" applyFill="1" applyBorder="1" applyAlignment="1">
      <alignment horizontal="left" vertical="center"/>
    </xf>
    <xf numFmtId="0" fontId="38" fillId="2" borderId="15" xfId="0" applyFont="1" applyFill="1" applyBorder="1" applyAlignment="1">
      <alignment horizontal="left" vertical="center" wrapText="1"/>
    </xf>
    <xf numFmtId="0" fontId="38" fillId="2" borderId="11" xfId="0" applyFont="1" applyFill="1" applyBorder="1" applyAlignment="1">
      <alignment horizontal="left" vertical="center" wrapText="1"/>
    </xf>
    <xf numFmtId="0" fontId="38" fillId="2" borderId="17" xfId="0" applyFont="1" applyFill="1" applyBorder="1" applyAlignment="1">
      <alignment horizontal="left" vertical="center" wrapText="1"/>
    </xf>
    <xf numFmtId="0" fontId="37" fillId="2" borderId="15" xfId="0" applyFont="1" applyFill="1" applyBorder="1" applyAlignment="1">
      <alignment horizontal="left" vertical="center"/>
    </xf>
    <xf numFmtId="0" fontId="37" fillId="2" borderId="11" xfId="0" applyFont="1" applyFill="1" applyBorder="1" applyAlignment="1">
      <alignment horizontal="left" vertical="center"/>
    </xf>
    <xf numFmtId="0" fontId="37" fillId="2" borderId="17" xfId="0" applyFont="1" applyFill="1" applyBorder="1" applyAlignment="1">
      <alignment horizontal="left" vertical="center"/>
    </xf>
    <xf numFmtId="166" fontId="38" fillId="2" borderId="14" xfId="0" applyNumberFormat="1" applyFont="1" applyFill="1" applyBorder="1" applyAlignment="1">
      <alignment horizontal="center" vertical="center"/>
    </xf>
    <xf numFmtId="165" fontId="38" fillId="2" borderId="13" xfId="0" applyNumberFormat="1" applyFont="1" applyFill="1" applyBorder="1" applyAlignment="1">
      <alignment horizontal="center" vertical="center"/>
    </xf>
    <xf numFmtId="165" fontId="38" fillId="2" borderId="21" xfId="0" applyNumberFormat="1" applyFont="1" applyFill="1" applyBorder="1" applyAlignment="1">
      <alignment horizontal="center" vertical="center"/>
    </xf>
    <xf numFmtId="0" fontId="55" fillId="38" borderId="4" xfId="0" applyFont="1" applyFill="1" applyBorder="1" applyAlignment="1">
      <alignment horizontal="center" vertical="center" wrapText="1"/>
    </xf>
    <xf numFmtId="0" fontId="55" fillId="38" borderId="40" xfId="0" applyFont="1" applyFill="1" applyBorder="1" applyAlignment="1">
      <alignment horizontal="center" vertical="center" wrapText="1"/>
    </xf>
    <xf numFmtId="0" fontId="55" fillId="38" borderId="5" xfId="0" applyFont="1" applyFill="1" applyBorder="1" applyAlignment="1">
      <alignment horizontal="center" vertical="center" wrapText="1"/>
    </xf>
    <xf numFmtId="0" fontId="55" fillId="38" borderId="39" xfId="0" applyFont="1" applyFill="1" applyBorder="1" applyAlignment="1">
      <alignment horizontal="center" vertical="center" wrapText="1"/>
    </xf>
    <xf numFmtId="0" fontId="55" fillId="38" borderId="6" xfId="0" applyFont="1" applyFill="1" applyBorder="1" applyAlignment="1">
      <alignment horizontal="center" vertical="center" wrapText="1"/>
    </xf>
    <xf numFmtId="0" fontId="55" fillId="38" borderId="7" xfId="0" applyFont="1" applyFill="1" applyBorder="1" applyAlignment="1">
      <alignment horizontal="center" vertical="center" wrapText="1"/>
    </xf>
    <xf numFmtId="0" fontId="55" fillId="38" borderId="8" xfId="0" applyFont="1" applyFill="1" applyBorder="1" applyAlignment="1">
      <alignment horizontal="center" vertical="center" wrapText="1"/>
    </xf>
    <xf numFmtId="0" fontId="55" fillId="38" borderId="9" xfId="0" applyFont="1" applyFill="1" applyBorder="1" applyAlignment="1">
      <alignment horizontal="center" vertical="center" wrapText="1"/>
    </xf>
    <xf numFmtId="0" fontId="38" fillId="2" borderId="16" xfId="0" applyFont="1" applyFill="1" applyBorder="1" applyAlignment="1">
      <alignment horizontal="center" vertical="center" wrapText="1"/>
    </xf>
    <xf numFmtId="0" fontId="38" fillId="2" borderId="19" xfId="0" applyFont="1" applyFill="1" applyBorder="1" applyAlignment="1">
      <alignment horizontal="center" vertical="center" wrapText="1"/>
    </xf>
    <xf numFmtId="165" fontId="38" fillId="2" borderId="16" xfId="0" applyNumberFormat="1" applyFont="1" applyFill="1" applyBorder="1" applyAlignment="1">
      <alignment horizontal="center" vertical="center" wrapText="1"/>
    </xf>
    <xf numFmtId="165" fontId="38" fillId="2" borderId="19" xfId="0" applyNumberFormat="1" applyFont="1" applyFill="1" applyBorder="1" applyAlignment="1">
      <alignment horizontal="center" vertical="center" wrapText="1"/>
    </xf>
    <xf numFmtId="166" fontId="38" fillId="2" borderId="15" xfId="0" applyNumberFormat="1" applyFont="1" applyFill="1" applyBorder="1" applyAlignment="1">
      <alignment horizontal="center" vertical="center"/>
    </xf>
    <xf numFmtId="166" fontId="38" fillId="2" borderId="17" xfId="0" applyNumberFormat="1" applyFont="1" applyFill="1" applyBorder="1" applyAlignment="1">
      <alignment horizontal="center" vertical="center"/>
    </xf>
    <xf numFmtId="173" fontId="8" fillId="0" borderId="0" xfId="0" applyNumberFormat="1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/>
    </xf>
  </cellXfs>
  <cellStyles count="57">
    <cellStyle name="20% - Ênfase1" xfId="24" builtinId="30" customBuiltin="1"/>
    <cellStyle name="20% - Ênfase2" xfId="28" builtinId="34" customBuiltin="1"/>
    <cellStyle name="20% - Ênfase3" xfId="32" builtinId="38" customBuiltin="1"/>
    <cellStyle name="20% - Ênfase4" xfId="36" builtinId="42" customBuiltin="1"/>
    <cellStyle name="20% - Ênfase5" xfId="40" builtinId="46" customBuiltin="1"/>
    <cellStyle name="20% - Ênfase6" xfId="44" builtinId="50" customBuiltin="1"/>
    <cellStyle name="40% - Ênfase1" xfId="25" builtinId="31" customBuiltin="1"/>
    <cellStyle name="40% - Ênfase2" xfId="29" builtinId="35" customBuiltin="1"/>
    <cellStyle name="40% - Ênfase3" xfId="33" builtinId="39" customBuiltin="1"/>
    <cellStyle name="40% - Ênfase4" xfId="37" builtinId="43" customBuiltin="1"/>
    <cellStyle name="40% - Ênfase5" xfId="41" builtinId="47" customBuiltin="1"/>
    <cellStyle name="40% - Ênfase6" xfId="45" builtinId="51" customBuiltin="1"/>
    <cellStyle name="60% - Ênfase1" xfId="26" builtinId="32" customBuiltin="1"/>
    <cellStyle name="60% - Ênfase2" xfId="30" builtinId="36" customBuiltin="1"/>
    <cellStyle name="60% - Ênfase3" xfId="34" builtinId="40" customBuiltin="1"/>
    <cellStyle name="60% - Ênfase4" xfId="38" builtinId="44" customBuiltin="1"/>
    <cellStyle name="60% - Ênfase5" xfId="42" builtinId="48" customBuiltin="1"/>
    <cellStyle name="60% - Ênfase6" xfId="46" builtinId="52" customBuiltin="1"/>
    <cellStyle name="Bom" xfId="11" builtinId="26" customBuiltin="1"/>
    <cellStyle name="Cálculo" xfId="16" builtinId="22" customBuiltin="1"/>
    <cellStyle name="Célula de Verificação" xfId="18" builtinId="23" customBuiltin="1"/>
    <cellStyle name="Célula Vinculada" xfId="17" builtinId="24" customBuiltin="1"/>
    <cellStyle name="Ênfase1" xfId="23" builtinId="29" customBuiltin="1"/>
    <cellStyle name="Ênfase2" xfId="27" builtinId="33" customBuiltin="1"/>
    <cellStyle name="Ênfase3" xfId="31" builtinId="37" customBuiltin="1"/>
    <cellStyle name="Ênfase4" xfId="35" builtinId="41" customBuiltin="1"/>
    <cellStyle name="Ênfase5" xfId="39" builtinId="45" customBuiltin="1"/>
    <cellStyle name="Ênfase6" xfId="43" builtinId="49" customBuiltin="1"/>
    <cellStyle name="Entrada" xfId="14" builtinId="20" customBuiltin="1"/>
    <cellStyle name="Neutro" xfId="13" builtinId="28" customBuiltin="1"/>
    <cellStyle name="Normal" xfId="0" builtinId="0"/>
    <cellStyle name="Normal 10" xfId="53" xr:uid="{00000000-0005-0000-0000-000020000000}"/>
    <cellStyle name="Normal 2" xfId="48" xr:uid="{00000000-0005-0000-0000-000021000000}"/>
    <cellStyle name="Normal 2 3 14" xfId="47" xr:uid="{00000000-0005-0000-0000-000022000000}"/>
    <cellStyle name="Normal 3" xfId="54" xr:uid="{00000000-0005-0000-0000-000023000000}"/>
    <cellStyle name="Normal 4" xfId="55" xr:uid="{00000000-0005-0000-0000-000024000000}"/>
    <cellStyle name="Normal 4 2" xfId="56" xr:uid="{00000000-0005-0000-0000-000025000000}"/>
    <cellStyle name="Normal 6" xfId="4" xr:uid="{00000000-0005-0000-0000-000026000000}"/>
    <cellStyle name="Normal_Planilha1_1" xfId="51" xr:uid="{00000000-0005-0000-0000-000027000000}"/>
    <cellStyle name="Nota" xfId="20" builtinId="10" customBuiltin="1"/>
    <cellStyle name="Porcentagem" xfId="1" builtinId="5"/>
    <cellStyle name="Porcentagem 2" xfId="49" xr:uid="{00000000-0005-0000-0000-00002A000000}"/>
    <cellStyle name="Porcentagem 3" xfId="5" xr:uid="{00000000-0005-0000-0000-00002B000000}"/>
    <cellStyle name="Ruim" xfId="12" builtinId="27" customBuiltin="1"/>
    <cellStyle name="Saída" xfId="15" builtinId="21" customBuiltin="1"/>
    <cellStyle name="Texto de Aviso" xfId="19" builtinId="11" customBuiltin="1"/>
    <cellStyle name="Texto Explicativo" xfId="21" builtinId="53" customBuiltin="1"/>
    <cellStyle name="Título" xfId="6" builtinId="15" customBuiltin="1"/>
    <cellStyle name="Título 1" xfId="7" builtinId="16" customBuiltin="1"/>
    <cellStyle name="Título 2" xfId="8" builtinId="17" customBuiltin="1"/>
    <cellStyle name="Título 3" xfId="9" builtinId="18" customBuiltin="1"/>
    <cellStyle name="Título 4" xfId="10" builtinId="19" customBuiltin="1"/>
    <cellStyle name="Total" xfId="22" builtinId="25" customBuiltin="1"/>
    <cellStyle name="Vírgula" xfId="52" builtinId="3"/>
    <cellStyle name="Vírgula 2" xfId="2" xr:uid="{00000000-0005-0000-0000-000036000000}"/>
    <cellStyle name="Vírgula 2 2" xfId="50" xr:uid="{00000000-0005-0000-0000-000037000000}"/>
    <cellStyle name="Vírgula 3" xfId="3" xr:uid="{00000000-0005-0000-0000-000038000000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emf"/><Relationship Id="rId2" Type="http://schemas.openxmlformats.org/officeDocument/2006/relationships/image" Target="../media/image3.JPG"/><Relationship Id="rId1" Type="http://schemas.openxmlformats.org/officeDocument/2006/relationships/image" Target="../media/image2.JPG"/><Relationship Id="rId6" Type="http://schemas.openxmlformats.org/officeDocument/2006/relationships/image" Target="../media/image7.emf"/><Relationship Id="rId5" Type="http://schemas.openxmlformats.org/officeDocument/2006/relationships/image" Target="../media/image6.emf"/><Relationship Id="rId4" Type="http://schemas.openxmlformats.org/officeDocument/2006/relationships/image" Target="../media/image5.e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8.JP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697006</xdr:colOff>
      <xdr:row>49</xdr:row>
      <xdr:rowOff>155603</xdr:rowOff>
    </xdr:from>
    <xdr:to>
      <xdr:col>17</xdr:col>
      <xdr:colOff>376277</xdr:colOff>
      <xdr:row>56</xdr:row>
      <xdr:rowOff>55871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400635" y="10845374"/>
          <a:ext cx="5198328" cy="111946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190500</xdr:colOff>
      <xdr:row>9</xdr:row>
      <xdr:rowOff>28575</xdr:rowOff>
    </xdr:from>
    <xdr:to>
      <xdr:col>11</xdr:col>
      <xdr:colOff>438150</xdr:colOff>
      <xdr:row>10</xdr:row>
      <xdr:rowOff>192405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877425" y="1781175"/>
          <a:ext cx="2438400" cy="514350"/>
        </a:xfrm>
        <a:prstGeom prst="rect">
          <a:avLst/>
        </a:prstGeom>
      </xdr:spPr>
    </xdr:pic>
    <xdr:clientData/>
  </xdr:twoCellAnchor>
  <xdr:twoCellAnchor editAs="oneCell">
    <xdr:from>
      <xdr:col>8</xdr:col>
      <xdr:colOff>300718</xdr:colOff>
      <xdr:row>30</xdr:row>
      <xdr:rowOff>148318</xdr:rowOff>
    </xdr:from>
    <xdr:to>
      <xdr:col>11</xdr:col>
      <xdr:colOff>529318</xdr:colOff>
      <xdr:row>32</xdr:row>
      <xdr:rowOff>203120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121243" y="6415768"/>
          <a:ext cx="2419350" cy="515059"/>
        </a:xfrm>
        <a:prstGeom prst="rect">
          <a:avLst/>
        </a:prstGeom>
      </xdr:spPr>
    </xdr:pic>
    <xdr:clientData/>
  </xdr:twoCellAnchor>
  <xdr:twoCellAnchor editAs="oneCell">
    <xdr:from>
      <xdr:col>11</xdr:col>
      <xdr:colOff>583406</xdr:colOff>
      <xdr:row>0</xdr:row>
      <xdr:rowOff>130968</xdr:rowOff>
    </xdr:from>
    <xdr:to>
      <xdr:col>20</xdr:col>
      <xdr:colOff>454818</xdr:colOff>
      <xdr:row>11</xdr:row>
      <xdr:rowOff>26669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00000000-0008-0000-08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75406" y="130968"/>
          <a:ext cx="7467600" cy="20269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600670</xdr:colOff>
      <xdr:row>89</xdr:row>
      <xdr:rowOff>124846</xdr:rowOff>
    </xdr:from>
    <xdr:to>
      <xdr:col>12</xdr:col>
      <xdr:colOff>65911</xdr:colOff>
      <xdr:row>91</xdr:row>
      <xdr:rowOff>219629</xdr:rowOff>
    </xdr:to>
    <xdr:pic>
      <xdr:nvPicPr>
        <xdr:cNvPr id="6" name="Imagem 5">
          <a:extLst>
            <a:ext uri="{FF2B5EF4-FFF2-40B4-BE49-F238E27FC236}">
              <a16:creationId xmlns:a16="http://schemas.microsoft.com/office/drawing/2014/main" id="{00000000-0008-0000-08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599699" y="15016503"/>
          <a:ext cx="2328182" cy="57311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11</xdr:col>
      <xdr:colOff>65311</xdr:colOff>
      <xdr:row>63</xdr:row>
      <xdr:rowOff>41303</xdr:rowOff>
    </xdr:from>
    <xdr:to>
      <xdr:col>18</xdr:col>
      <xdr:colOff>431368</xdr:colOff>
      <xdr:row>73</xdr:row>
      <xdr:rowOff>301519</xdr:rowOff>
    </xdr:to>
    <xdr:pic>
      <xdr:nvPicPr>
        <xdr:cNvPr id="7" name="Imagem 6">
          <a:extLst>
            <a:ext uri="{FF2B5EF4-FFF2-40B4-BE49-F238E27FC236}">
              <a16:creationId xmlns:a16="http://schemas.microsoft.com/office/drawing/2014/main" id="{865E3CCE-18A5-4064-B0A4-CA199F9915E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00929" y="13925391"/>
          <a:ext cx="6574115" cy="296251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10</xdr:col>
      <xdr:colOff>522516</xdr:colOff>
      <xdr:row>93</xdr:row>
      <xdr:rowOff>43545</xdr:rowOff>
    </xdr:from>
    <xdr:to>
      <xdr:col>18</xdr:col>
      <xdr:colOff>4483</xdr:colOff>
      <xdr:row>130</xdr:row>
      <xdr:rowOff>31242</xdr:rowOff>
    </xdr:to>
    <xdr:pic>
      <xdr:nvPicPr>
        <xdr:cNvPr id="8" name="Imagem 7">
          <a:extLst>
            <a:ext uri="{FF2B5EF4-FFF2-40B4-BE49-F238E27FC236}">
              <a16:creationId xmlns:a16="http://schemas.microsoft.com/office/drawing/2014/main" id="{A3DEC162-3EA4-4EDD-BA88-3C14492F9D0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509173" y="8088088"/>
          <a:ext cx="6455228" cy="608696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25</xdr:col>
      <xdr:colOff>180975</xdr:colOff>
      <xdr:row>1</xdr:row>
      <xdr:rowOff>0</xdr:rowOff>
    </xdr:from>
    <xdr:to>
      <xdr:col>28</xdr:col>
      <xdr:colOff>95249</xdr:colOff>
      <xdr:row>4</xdr:row>
      <xdr:rowOff>1789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C3D35693-22E2-409F-BC5A-D1671C997A9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5829895" y="220980"/>
          <a:ext cx="1788794" cy="563591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1115784</xdr:colOff>
      <xdr:row>19</xdr:row>
      <xdr:rowOff>62590</xdr:rowOff>
    </xdr:from>
    <xdr:to>
      <xdr:col>2</xdr:col>
      <xdr:colOff>3497035</xdr:colOff>
      <xdr:row>23</xdr:row>
      <xdr:rowOff>81641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B5CC1987-06FB-4CB4-B53F-AB54F9B380B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17389" t="42063" r="73352" b="47789"/>
        <a:stretch/>
      </xdr:blipFill>
      <xdr:spPr>
        <a:xfrm>
          <a:off x="2313213" y="4498519"/>
          <a:ext cx="2381251" cy="726622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Administra&#231;&#227;o%20Local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404cfb0379854b7b/4%20-%20Administra&#231;&#227;o%20Local%20Restaura&#231;&#227;o%20(Resolvido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LASSIFICAÇÃO"/>
      <sheetName val="TABELAS DE REFERÊNCIA"/>
      <sheetName val="QUANT"/>
      <sheetName val="MO"/>
      <sheetName val="MAODEOBRA"/>
      <sheetName val="RESUMO"/>
      <sheetName val="FIXA - construção"/>
      <sheetName val="VINCULADA - construção"/>
      <sheetName val="VARIÁVEL - FRENTES DE SERVIÇOS"/>
      <sheetName val="VARIÁVEL - CONTROLE TECNOLÓGICO"/>
      <sheetName val="VARIÁVEL - MANEJO FLORESTAL"/>
      <sheetName val="MANUTENÇÃO"/>
    </sheetNames>
    <sheetDataSet>
      <sheetData sheetId="0" refreshError="1">
        <row r="2">
          <cell r="B2" t="str">
            <v>Natureza das Obras</v>
          </cell>
          <cell r="C2" t="str">
            <v>Porte da Obra</v>
          </cell>
        </row>
        <row r="3">
          <cell r="C3" t="str">
            <v>Pequeno Porte</v>
          </cell>
          <cell r="D3" t="str">
            <v>Médio Porte</v>
          </cell>
          <cell r="E3" t="str">
            <v>Grande Porte</v>
          </cell>
        </row>
        <row r="4">
          <cell r="A4">
            <v>1</v>
          </cell>
          <cell r="B4" t="str">
            <v>Construção rodoviária</v>
          </cell>
          <cell r="C4" t="str">
            <v>Até 15 km de pista simples por ano</v>
          </cell>
          <cell r="D4" t="str">
            <v>De 15 a 30 km de pista simples por ano</v>
          </cell>
          <cell r="E4" t="str">
            <v>Acima de 30 km de pista simples por ano</v>
          </cell>
        </row>
        <row r="5">
          <cell r="A5">
            <v>2</v>
          </cell>
          <cell r="B5" t="str">
            <v>Restauração rodoviária</v>
          </cell>
          <cell r="C5" t="str">
            <v>Até 20 km de pista simples por ano</v>
          </cell>
          <cell r="D5" t="str">
            <v>De 20 a 40 km de pista simples por ano</v>
          </cell>
          <cell r="E5" t="str">
            <v>Acima de 40 km de pista simples por ano</v>
          </cell>
        </row>
        <row r="7">
          <cell r="B7" t="str">
            <v>Classificação das famílias de serviços nas obras de artes especiais</v>
          </cell>
        </row>
        <row r="8">
          <cell r="B8" t="str">
            <v>Natureza das Obras</v>
          </cell>
          <cell r="C8" t="str">
            <v>Porte da Obra</v>
          </cell>
        </row>
        <row r="9">
          <cell r="C9" t="str">
            <v>Pequeno Porte</v>
          </cell>
          <cell r="D9" t="str">
            <v>Médio Porte</v>
          </cell>
          <cell r="E9" t="str">
            <v>Grande Porte</v>
          </cell>
        </row>
        <row r="10">
          <cell r="A10">
            <v>3</v>
          </cell>
          <cell r="B10" t="str">
            <v>Construção de obras de arte especiais</v>
          </cell>
          <cell r="C10" t="str">
            <v>Até 150 m de pista simples por ano</v>
          </cell>
          <cell r="D10" t="str">
            <v>De 150 a 300 m de pista simples por ano</v>
          </cell>
          <cell r="E10" t="str">
            <v>Acima de 300 m de pista simples por ano</v>
          </cell>
        </row>
        <row r="11">
          <cell r="A11">
            <v>4</v>
          </cell>
          <cell r="B11" t="str">
            <v>Recuperação, reforço e alargamento de obras de arte especiais</v>
          </cell>
          <cell r="C11" t="str">
            <v>Até 200 m de pista simples por ano</v>
          </cell>
          <cell r="D11" t="str">
            <v>De 200 a 400 m de pista simples por ano</v>
          </cell>
          <cell r="E11" t="str">
            <v>Acima de 400 m de pista simples por ano</v>
          </cell>
        </row>
        <row r="13">
          <cell r="B13" t="str">
            <v>Classificação das obras de construção ferroviária</v>
          </cell>
        </row>
        <row r="14">
          <cell r="B14" t="str">
            <v>Natureza das Obras</v>
          </cell>
          <cell r="C14" t="str">
            <v>Porte da Obra</v>
          </cell>
        </row>
        <row r="15">
          <cell r="C15" t="str">
            <v>Pequeno Porte</v>
          </cell>
          <cell r="D15" t="str">
            <v>Médio Porte</v>
          </cell>
          <cell r="E15" t="str">
            <v>Grande Porte</v>
          </cell>
        </row>
        <row r="16">
          <cell r="A16">
            <v>5</v>
          </cell>
          <cell r="B16" t="str">
            <v>Construção ferroviária (Bitola métrica ou larga)</v>
          </cell>
          <cell r="C16" t="str">
            <v>Até 15 km de via singela por ano</v>
          </cell>
          <cell r="D16" t="str">
            <v>De 15 a 30 km de via singela por ano</v>
          </cell>
          <cell r="E16" t="str">
            <v>Acima de 30 km de via singela por ano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AODEOBRA"/>
      <sheetName val="TABELAS DE REFERÊNCIA"/>
      <sheetName val="CLASSIFICAÇÃO"/>
      <sheetName val="RESUMO"/>
      <sheetName val="FIXA - construção"/>
      <sheetName val="FIXA - oae"/>
      <sheetName val="VINCULADA - construção"/>
      <sheetName val="VINCULADA - oae"/>
      <sheetName val="VARIÁVEL - FRENTES DE SERVIÇOS"/>
      <sheetName val="VARIÁVEL - CONTROLE TECNOLÓGICO"/>
      <sheetName val="VARIÁVEL - MANEJO FLORESTAL"/>
      <sheetName val="MANUTENÇÃO"/>
    </sheetNames>
    <sheetDataSet>
      <sheetData sheetId="0" refreshError="1"/>
      <sheetData sheetId="1">
        <row r="58">
          <cell r="C58">
            <v>9.0000000000000006E-5</v>
          </cell>
        </row>
      </sheetData>
      <sheetData sheetId="2">
        <row r="2">
          <cell r="B2" t="str">
            <v>Natureza das Obras</v>
          </cell>
          <cell r="C2" t="str">
            <v>Porte da Obra</v>
          </cell>
        </row>
        <row r="3">
          <cell r="C3" t="str">
            <v>Pequeno Porte</v>
          </cell>
          <cell r="D3" t="str">
            <v>Médio Porte</v>
          </cell>
          <cell r="E3" t="str">
            <v>Grande Porte</v>
          </cell>
        </row>
        <row r="4">
          <cell r="A4">
            <v>1</v>
          </cell>
          <cell r="B4" t="str">
            <v>Construção rodoviária</v>
          </cell>
          <cell r="C4" t="str">
            <v>Até 15 km de pista simples por ano</v>
          </cell>
          <cell r="D4" t="str">
            <v>De 15 a 30 km de pista simples por ano</v>
          </cell>
          <cell r="E4" t="str">
            <v>Acima de 30 km de pista simples por ano</v>
          </cell>
        </row>
        <row r="5">
          <cell r="A5">
            <v>2</v>
          </cell>
          <cell r="B5" t="str">
            <v>Restauração rodoviária</v>
          </cell>
          <cell r="C5" t="str">
            <v>Até 20 km de pista simples por ano</v>
          </cell>
          <cell r="D5" t="str">
            <v>De 20 a 40 km de pista simples por ano</v>
          </cell>
          <cell r="E5" t="str">
            <v>Acima de 40 km de pista simples por ano</v>
          </cell>
        </row>
        <row r="7">
          <cell r="B7" t="str">
            <v>Classificação das famílias de serviços nas obras de artes especiais</v>
          </cell>
        </row>
        <row r="8">
          <cell r="B8" t="str">
            <v>Natureza das Obras</v>
          </cell>
          <cell r="C8" t="str">
            <v>Porte da Obra</v>
          </cell>
        </row>
        <row r="9">
          <cell r="C9" t="str">
            <v>Pequeno Porte</v>
          </cell>
          <cell r="D9" t="str">
            <v>Médio Porte</v>
          </cell>
          <cell r="E9" t="str">
            <v>Grande Porte</v>
          </cell>
        </row>
        <row r="10">
          <cell r="A10">
            <v>3</v>
          </cell>
          <cell r="B10" t="str">
            <v>Construção de obras de arte especiais</v>
          </cell>
          <cell r="C10" t="str">
            <v>Até 150 m de pista simples por ano</v>
          </cell>
          <cell r="D10" t="str">
            <v>De 150 a 300 m de pista simples por ano</v>
          </cell>
          <cell r="E10" t="str">
            <v>Acima de 300 m de pista simples por ano</v>
          </cell>
        </row>
        <row r="11">
          <cell r="A11">
            <v>4</v>
          </cell>
          <cell r="B11" t="str">
            <v>Recuperação, reforço e alargamento de obras de arte especiais</v>
          </cell>
          <cell r="C11" t="str">
            <v>Até 200 m de pista simples por ano</v>
          </cell>
          <cell r="D11" t="str">
            <v>De 200 a 400 m de pista simples por ano</v>
          </cell>
          <cell r="E11" t="str">
            <v>Acima de 400 m de pista simples por ano</v>
          </cell>
        </row>
        <row r="13">
          <cell r="B13" t="str">
            <v>Classificação das obras de construção ferroviária</v>
          </cell>
        </row>
        <row r="14">
          <cell r="B14" t="str">
            <v>Natureza das Obras</v>
          </cell>
          <cell r="C14" t="str">
            <v>Porte da Obra</v>
          </cell>
        </row>
        <row r="15">
          <cell r="C15" t="str">
            <v>Pequeno Porte</v>
          </cell>
          <cell r="D15" t="str">
            <v>Médio Porte</v>
          </cell>
          <cell r="E15" t="str">
            <v>Grande Porte</v>
          </cell>
        </row>
        <row r="16">
          <cell r="A16">
            <v>5</v>
          </cell>
          <cell r="B16" t="str">
            <v>Construção ferroviária (Bitola métrica ou larga)</v>
          </cell>
          <cell r="C16" t="str">
            <v>Até 15 km de via singela por ano</v>
          </cell>
          <cell r="D16" t="str">
            <v>De 15 a 30 km de via singela por ano</v>
          </cell>
          <cell r="E16" t="str">
            <v>Acima de 30 km de via singela por ano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0.bin"/><Relationship Id="rId4" Type="http://schemas.openxmlformats.org/officeDocument/2006/relationships/comments" Target="../comments4.xml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1.bin"/><Relationship Id="rId4" Type="http://schemas.openxmlformats.org/officeDocument/2006/relationships/comments" Target="../comments5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8.bin"/><Relationship Id="rId4" Type="http://schemas.openxmlformats.org/officeDocument/2006/relationships/comments" Target="../comments3.x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6"/>
  <sheetViews>
    <sheetView showGridLines="0" view="pageBreakPreview" zoomScale="70" zoomScaleNormal="70" zoomScaleSheetLayoutView="70" workbookViewId="0">
      <selection activeCell="L10" sqref="L10"/>
    </sheetView>
  </sheetViews>
  <sheetFormatPr defaultColWidth="8.85546875" defaultRowHeight="14.25" x14ac:dyDescent="0.25"/>
  <cols>
    <col min="1" max="1" width="9.5703125" style="167" customWidth="1"/>
    <col min="2" max="2" width="67.42578125" style="88" bestFit="1" customWidth="1"/>
    <col min="3" max="3" width="16.5703125" style="88" customWidth="1"/>
    <col min="4" max="4" width="18.7109375" style="88" customWidth="1"/>
    <col min="5" max="5" width="18.85546875" style="88" customWidth="1"/>
    <col min="6" max="6" width="8.85546875" style="88"/>
    <col min="7" max="7" width="35" style="88" customWidth="1"/>
    <col min="8" max="8" width="42.85546875" style="88" customWidth="1"/>
    <col min="9" max="9" width="8.5703125" style="88" customWidth="1"/>
    <col min="10" max="10" width="13.5703125" style="88" bestFit="1" customWidth="1"/>
    <col min="11" max="11" width="19.140625" style="88" customWidth="1"/>
    <col min="12" max="16384" width="8.85546875" style="88"/>
  </cols>
  <sheetData>
    <row r="1" spans="1:13" ht="29.45" customHeight="1" thickBot="1" x14ac:dyDescent="0.3">
      <c r="B1" s="276" t="s">
        <v>341</v>
      </c>
      <c r="L1" s="268"/>
      <c r="M1" s="88" t="s">
        <v>333</v>
      </c>
    </row>
    <row r="2" spans="1:13" ht="29.45" customHeight="1" thickBot="1" x14ac:dyDescent="0.3">
      <c r="B2" s="449" t="s">
        <v>101</v>
      </c>
      <c r="C2" s="451" t="s">
        <v>102</v>
      </c>
      <c r="D2" s="452"/>
      <c r="E2" s="453"/>
      <c r="G2" s="163" t="s">
        <v>126</v>
      </c>
      <c r="H2" s="277" t="str">
        <f>VLOOKUP(H3,NATUREZA,2,0)</f>
        <v>Construção rodoviária</v>
      </c>
    </row>
    <row r="3" spans="1:13" ht="29.45" customHeight="1" thickBot="1" x14ac:dyDescent="0.3">
      <c r="B3" s="450"/>
      <c r="C3" s="274" t="s">
        <v>103</v>
      </c>
      <c r="D3" s="274" t="s">
        <v>104</v>
      </c>
      <c r="E3" s="274" t="s">
        <v>105</v>
      </c>
      <c r="G3" s="164" t="s">
        <v>177</v>
      </c>
      <c r="H3" s="214">
        <v>1</v>
      </c>
      <c r="I3" s="271"/>
    </row>
    <row r="4" spans="1:13" ht="29.45" customHeight="1" thickBot="1" x14ac:dyDescent="0.3">
      <c r="A4" s="165">
        <v>1</v>
      </c>
      <c r="B4" s="213" t="s">
        <v>106</v>
      </c>
      <c r="C4" s="19" t="s">
        <v>107</v>
      </c>
      <c r="D4" s="19" t="s">
        <v>108</v>
      </c>
      <c r="E4" s="19" t="s">
        <v>109</v>
      </c>
      <c r="G4" s="164" t="s">
        <v>127</v>
      </c>
      <c r="H4" s="166" t="str">
        <f>VLOOKUP(H3,NATUREZA,2,0)</f>
        <v>Construção rodoviária</v>
      </c>
    </row>
    <row r="5" spans="1:13" ht="29.45" customHeight="1" thickBot="1" x14ac:dyDescent="0.3">
      <c r="A5" s="165">
        <v>2</v>
      </c>
      <c r="B5" s="213" t="s">
        <v>110</v>
      </c>
      <c r="C5" s="19" t="s">
        <v>111</v>
      </c>
      <c r="D5" s="19" t="s">
        <v>112</v>
      </c>
      <c r="E5" s="19" t="s">
        <v>113</v>
      </c>
      <c r="G5" s="164" t="s">
        <v>340</v>
      </c>
      <c r="H5" s="236">
        <v>1</v>
      </c>
    </row>
    <row r="6" spans="1:13" ht="29.45" customHeight="1" x14ac:dyDescent="0.25">
      <c r="B6" s="1"/>
      <c r="G6" s="164" t="s">
        <v>129</v>
      </c>
      <c r="H6" s="236" t="s">
        <v>0</v>
      </c>
    </row>
    <row r="7" spans="1:13" ht="29.45" customHeight="1" thickBot="1" x14ac:dyDescent="0.3">
      <c r="B7" s="276" t="s">
        <v>342</v>
      </c>
      <c r="G7" s="164" t="s">
        <v>128</v>
      </c>
      <c r="H7" s="168">
        <f>H5</f>
        <v>1</v>
      </c>
    </row>
    <row r="8" spans="1:13" ht="29.45" customHeight="1" thickBot="1" x14ac:dyDescent="0.3">
      <c r="B8" s="449" t="s">
        <v>101</v>
      </c>
      <c r="C8" s="451" t="s">
        <v>102</v>
      </c>
      <c r="D8" s="452"/>
      <c r="E8" s="453"/>
      <c r="G8" s="164" t="s">
        <v>239</v>
      </c>
      <c r="H8" s="272" t="str">
        <f>IF(AND(H3=1,H7&lt;15),"PEQUENO PORTE",IF(AND(H3=1,15&lt;=H7,H7&lt;=30),"MÉDIO PORTE",IF(AND(H3=1,H7&gt;30),"GRANDE PORTE",IF(AND(H3=2,H7&lt;20),"PEQUENO PORTE",IF(AND(H3=2,20&lt;=H7,H7&lt;=40),"MÉDIO PORTE",IF(AND(H3=2,H7&gt;40),"GRANDE PORTE",IF(AND(H3=3,H7&lt;150),"PEQUENO PORTE",IF(AND(H3=3,150&lt;=H7,H7&lt;=300),"MÉDIO PORTE",IF(AND(H3=3,H7&gt;300),"GRANDE PORTE",IF(AND(H3=4,H7&lt;200),"PEQUENO PORTE",IF(AND(H3=4,200&lt;=H7,H7&lt;=400),"MÉDIO PORTE",IF(AND(H3=4,H7&gt;400),"GRANDE PORTE",IF(AND(H3=5,H7&lt;15),"PEQUENO PORTE",IF(AND(H3=5,15&lt;=H7,H7&lt;=30),"MÉDIO PORTE",IF(AND(H3=5,H7&gt;30),"GRANDE PORTE",IF(H3=6,"-"))))))))))))))))</f>
        <v>PEQUENO PORTE</v>
      </c>
    </row>
    <row r="9" spans="1:13" ht="29.45" customHeight="1" thickBot="1" x14ac:dyDescent="0.3">
      <c r="B9" s="450"/>
      <c r="C9" s="274" t="s">
        <v>103</v>
      </c>
      <c r="D9" s="274" t="s">
        <v>104</v>
      </c>
      <c r="E9" s="274" t="s">
        <v>105</v>
      </c>
      <c r="G9" s="164" t="s">
        <v>229</v>
      </c>
      <c r="H9" s="214" t="s">
        <v>0</v>
      </c>
    </row>
    <row r="10" spans="1:13" ht="29.45" customHeight="1" thickBot="1" x14ac:dyDescent="0.3">
      <c r="A10" s="165">
        <v>3</v>
      </c>
      <c r="B10" s="6" t="s">
        <v>114</v>
      </c>
      <c r="C10" s="2" t="s">
        <v>115</v>
      </c>
      <c r="D10" s="2" t="s">
        <v>116</v>
      </c>
      <c r="E10" s="2" t="s">
        <v>117</v>
      </c>
      <c r="G10" s="164" t="s">
        <v>127</v>
      </c>
      <c r="H10" s="166" t="s">
        <v>0</v>
      </c>
    </row>
    <row r="11" spans="1:13" ht="29.45" customHeight="1" thickBot="1" x14ac:dyDescent="0.3">
      <c r="A11" s="165">
        <v>4</v>
      </c>
      <c r="B11" s="6" t="s">
        <v>118</v>
      </c>
      <c r="C11" s="2" t="s">
        <v>119</v>
      </c>
      <c r="D11" s="2" t="s">
        <v>120</v>
      </c>
      <c r="E11" s="2" t="s">
        <v>121</v>
      </c>
      <c r="G11" s="164" t="s">
        <v>130</v>
      </c>
      <c r="H11" s="236" t="s">
        <v>0</v>
      </c>
    </row>
    <row r="12" spans="1:13" ht="29.45" customHeight="1" x14ac:dyDescent="0.25">
      <c r="B12" s="1"/>
      <c r="G12" s="164" t="s">
        <v>129</v>
      </c>
      <c r="H12" s="236" t="s">
        <v>0</v>
      </c>
    </row>
    <row r="13" spans="1:13" ht="29.45" customHeight="1" x14ac:dyDescent="0.25">
      <c r="B13" s="276" t="s">
        <v>343</v>
      </c>
      <c r="G13" s="164" t="s">
        <v>128</v>
      </c>
      <c r="H13" s="168" t="str">
        <f>IFERROR(H11/H12,"")</f>
        <v/>
      </c>
    </row>
    <row r="14" spans="1:13" ht="29.45" customHeight="1" thickBot="1" x14ac:dyDescent="0.3">
      <c r="B14" s="445" t="s">
        <v>101</v>
      </c>
      <c r="C14" s="447" t="s">
        <v>102</v>
      </c>
      <c r="D14" s="448"/>
      <c r="E14" s="448"/>
      <c r="G14" s="270" t="s">
        <v>131</v>
      </c>
      <c r="H14" s="273" t="s">
        <v>0</v>
      </c>
    </row>
    <row r="15" spans="1:13" ht="29.45" customHeight="1" thickBot="1" x14ac:dyDescent="0.3">
      <c r="B15" s="446"/>
      <c r="C15" s="274" t="s">
        <v>103</v>
      </c>
      <c r="D15" s="274" t="s">
        <v>104</v>
      </c>
      <c r="E15" s="275" t="s">
        <v>105</v>
      </c>
    </row>
    <row r="16" spans="1:13" ht="29.45" customHeight="1" thickBot="1" x14ac:dyDescent="0.3">
      <c r="A16" s="165">
        <v>5</v>
      </c>
      <c r="B16" s="269" t="s">
        <v>125</v>
      </c>
      <c r="C16" s="269" t="s">
        <v>122</v>
      </c>
      <c r="D16" s="269" t="s">
        <v>123</v>
      </c>
      <c r="E16" s="269" t="s">
        <v>124</v>
      </c>
    </row>
  </sheetData>
  <mergeCells count="6">
    <mergeCell ref="B14:B15"/>
    <mergeCell ref="C14:E14"/>
    <mergeCell ref="B2:B3"/>
    <mergeCell ref="C2:E2"/>
    <mergeCell ref="B8:B9"/>
    <mergeCell ref="C8:E8"/>
  </mergeCells>
  <printOptions horizontalCentered="1"/>
  <pageMargins left="0.78740157480314965" right="0.51181102362204722" top="0.78740157480314965" bottom="0.78740157480314965" header="0.31496062992125984" footer="0.31496062992125984"/>
  <pageSetup paperSize="9" scale="41" orientation="portrait" r:id="rId1"/>
  <headerFooter>
    <oddFooter>&amp;C&amp;A</oddFooter>
  </headerFooter>
  <ignoredErrors>
    <ignoredError sqref="H13" formula="1"/>
    <ignoredError sqref="H4" evalError="1"/>
  </ignoredErrors>
  <legacy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0000FF"/>
    <pageSetUpPr fitToPage="1"/>
  </sheetPr>
  <dimension ref="A1:AB69"/>
  <sheetViews>
    <sheetView showGridLines="0" tabSelected="1" zoomScale="70" zoomScaleNormal="70" zoomScaleSheetLayoutView="74" workbookViewId="0">
      <selection activeCell="N41" sqref="N41"/>
    </sheetView>
  </sheetViews>
  <sheetFormatPr defaultColWidth="9.140625" defaultRowHeight="14.25" x14ac:dyDescent="0.25"/>
  <cols>
    <col min="1" max="1" width="12.140625" style="148" customWidth="1"/>
    <col min="2" max="2" width="9.85546875" style="148" customWidth="1"/>
    <col min="3" max="3" width="21.5703125" style="148" customWidth="1"/>
    <col min="4" max="4" width="13.5703125" style="148" customWidth="1"/>
    <col min="5" max="5" width="19.7109375" style="148" customWidth="1"/>
    <col min="6" max="6" width="22.28515625" style="148" bestFit="1" customWidth="1"/>
    <col min="7" max="7" width="18.5703125" style="148" customWidth="1"/>
    <col min="8" max="8" width="16" style="148" customWidth="1"/>
    <col min="9" max="9" width="16.5703125" style="148" customWidth="1"/>
    <col min="10" max="10" width="16.7109375" style="148" customWidth="1"/>
    <col min="11" max="11" width="2.85546875" style="125" customWidth="1"/>
    <col min="12" max="12" width="9.140625" style="148"/>
    <col min="13" max="13" width="14.140625" style="208" bestFit="1" customWidth="1"/>
    <col min="14" max="14" width="89.7109375" style="148" customWidth="1"/>
    <col min="15" max="15" width="14.7109375" style="208" customWidth="1"/>
    <col min="16" max="16" width="17.28515625" style="148" customWidth="1"/>
    <col min="17" max="17" width="15.85546875" style="148" customWidth="1"/>
    <col min="18" max="18" width="17.28515625" style="148" bestFit="1" customWidth="1"/>
    <col min="19" max="19" width="9.140625" style="125" customWidth="1"/>
    <col min="20" max="16384" width="9.140625" style="125"/>
  </cols>
  <sheetData>
    <row r="1" spans="1:28" ht="17.45" customHeight="1" x14ac:dyDescent="0.2">
      <c r="A1" s="61" t="s">
        <v>1</v>
      </c>
      <c r="B1" s="62"/>
      <c r="C1" s="535" t="s">
        <v>9</v>
      </c>
      <c r="D1" s="536"/>
      <c r="E1" s="537"/>
      <c r="F1" s="61" t="s">
        <v>2</v>
      </c>
      <c r="G1" s="61" t="s">
        <v>3</v>
      </c>
      <c r="H1" s="152" t="s">
        <v>10</v>
      </c>
      <c r="I1" s="152" t="s">
        <v>11</v>
      </c>
      <c r="J1" s="217"/>
      <c r="K1" s="358"/>
      <c r="L1" s="148" t="s">
        <v>4</v>
      </c>
      <c r="N1" s="219"/>
      <c r="T1" s="216"/>
      <c r="U1" s="53" t="s">
        <v>333</v>
      </c>
    </row>
    <row r="2" spans="1:28" ht="14.45" customHeight="1" x14ac:dyDescent="0.25">
      <c r="A2" s="61" t="s">
        <v>315</v>
      </c>
      <c r="B2" s="62"/>
      <c r="C2" s="538" t="s">
        <v>171</v>
      </c>
      <c r="D2" s="539"/>
      <c r="E2" s="540"/>
      <c r="F2" s="145" t="s">
        <v>50</v>
      </c>
      <c r="G2" s="65"/>
      <c r="H2" s="146"/>
      <c r="I2" s="146"/>
      <c r="J2" s="188"/>
      <c r="K2" s="359"/>
      <c r="L2" s="178" t="s">
        <v>278</v>
      </c>
    </row>
    <row r="3" spans="1:28" ht="16.149999999999999" customHeight="1" x14ac:dyDescent="0.25">
      <c r="A3" s="61" t="s">
        <v>291</v>
      </c>
      <c r="B3" s="62"/>
      <c r="C3" s="538" t="s">
        <v>12</v>
      </c>
      <c r="D3" s="539"/>
      <c r="E3" s="540"/>
      <c r="F3" s="145"/>
      <c r="G3" s="65"/>
      <c r="H3" s="146"/>
      <c r="I3" s="146"/>
      <c r="J3" s="188"/>
      <c r="K3" s="359"/>
      <c r="L3" s="145" t="s">
        <v>1</v>
      </c>
      <c r="M3" s="145"/>
      <c r="N3" s="145" t="s">
        <v>9</v>
      </c>
      <c r="O3" s="145" t="s">
        <v>2</v>
      </c>
      <c r="P3" s="179" t="s">
        <v>3</v>
      </c>
      <c r="Q3" s="145" t="s">
        <v>326</v>
      </c>
      <c r="R3" s="145" t="s">
        <v>334</v>
      </c>
    </row>
    <row r="4" spans="1:28" ht="14.45" customHeight="1" x14ac:dyDescent="0.25">
      <c r="A4" s="67" t="s">
        <v>289</v>
      </c>
      <c r="B4" s="218" t="s">
        <v>98</v>
      </c>
      <c r="C4" s="541" t="s">
        <v>629</v>
      </c>
      <c r="D4" s="542"/>
      <c r="E4" s="543"/>
      <c r="F4" s="57" t="s">
        <v>611</v>
      </c>
      <c r="G4" s="58">
        <v>0</v>
      </c>
      <c r="H4" s="351">
        <f>VLOOKUP(B4,MO!$A$5:$F$114,6,0)</f>
        <v>6262.7002000000002</v>
      </c>
      <c r="I4" s="360">
        <f>H4*G4</f>
        <v>0</v>
      </c>
      <c r="J4" s="188"/>
      <c r="K4" s="359"/>
      <c r="L4" s="61" t="s">
        <v>315</v>
      </c>
      <c r="M4" s="145"/>
      <c r="N4" s="180" t="s">
        <v>53</v>
      </c>
      <c r="O4" s="145" t="s">
        <v>280</v>
      </c>
      <c r="P4" s="181" t="s">
        <v>4</v>
      </c>
      <c r="Q4" s="145" t="s">
        <v>4</v>
      </c>
      <c r="R4" s="181" t="s">
        <v>4</v>
      </c>
    </row>
    <row r="5" spans="1:28" ht="14.45" customHeight="1" x14ac:dyDescent="0.25">
      <c r="A5" s="67" t="s">
        <v>322</v>
      </c>
      <c r="B5" s="218" t="s">
        <v>99</v>
      </c>
      <c r="C5" s="541" t="s">
        <v>630</v>
      </c>
      <c r="D5" s="542"/>
      <c r="E5" s="543"/>
      <c r="F5" s="57" t="s">
        <v>611</v>
      </c>
      <c r="G5" s="58">
        <v>0</v>
      </c>
      <c r="H5" s="351">
        <f>VLOOKUP(B5,MO!$A$5:$F$114,6,0)</f>
        <v>4930.3818000000001</v>
      </c>
      <c r="I5" s="360">
        <f>H5*G5</f>
        <v>0</v>
      </c>
      <c r="J5" s="188"/>
      <c r="K5" s="359"/>
      <c r="L5" s="67" t="s">
        <v>165</v>
      </c>
      <c r="M5" s="57" t="s">
        <v>0</v>
      </c>
      <c r="N5" s="222" t="s">
        <v>0</v>
      </c>
      <c r="O5" s="57" t="s">
        <v>0</v>
      </c>
      <c r="P5" s="120" t="s">
        <v>0</v>
      </c>
      <c r="Q5" s="183" t="s">
        <v>0</v>
      </c>
      <c r="R5" s="184" t="s">
        <v>0</v>
      </c>
    </row>
    <row r="6" spans="1:28" ht="17.45" customHeight="1" x14ac:dyDescent="0.25">
      <c r="A6" s="147"/>
      <c r="B6" s="189"/>
      <c r="F6" s="149"/>
      <c r="G6" s="150"/>
      <c r="H6" s="149" t="str">
        <f>CONCATENATE("Total do Item ",C2," - ",C3,":")</f>
        <v>Total do Item Laboratório de Solos para terraplenagem - Mão de Obra:</v>
      </c>
      <c r="I6" s="357">
        <f>SUM(I4:I5)</f>
        <v>0</v>
      </c>
      <c r="J6" s="377"/>
      <c r="K6" s="361"/>
      <c r="L6" s="156"/>
      <c r="M6" s="155"/>
      <c r="N6" s="156"/>
      <c r="O6" s="185"/>
      <c r="P6" s="186"/>
      <c r="Q6" s="353" t="str">
        <f>CONCATENATE("Total de ",N4,":")</f>
        <v>Total de Equipes de Laboratório de Solos para Terraplenagem:</v>
      </c>
      <c r="R6" s="52">
        <f>SUM(R5:R5)</f>
        <v>0</v>
      </c>
      <c r="T6" s="187"/>
    </row>
    <row r="7" spans="1:28" ht="19.5" customHeight="1" x14ac:dyDescent="0.25">
      <c r="A7" s="502" t="s">
        <v>34</v>
      </c>
      <c r="B7" s="354"/>
      <c r="C7" s="555" t="s">
        <v>27</v>
      </c>
      <c r="D7" s="502" t="s">
        <v>2</v>
      </c>
      <c r="E7" s="557" t="s">
        <v>3</v>
      </c>
      <c r="F7" s="502" t="s">
        <v>28</v>
      </c>
      <c r="G7" s="508" t="s">
        <v>243</v>
      </c>
      <c r="H7" s="544" t="s">
        <v>29</v>
      </c>
      <c r="I7" s="544"/>
      <c r="J7" s="545"/>
      <c r="K7" s="358"/>
      <c r="P7" s="208"/>
      <c r="Q7" s="362"/>
      <c r="R7" s="220"/>
      <c r="S7" s="187"/>
    </row>
    <row r="8" spans="1:28" ht="19.5" customHeight="1" x14ac:dyDescent="0.25">
      <c r="A8" s="503"/>
      <c r="B8" s="355"/>
      <c r="C8" s="556"/>
      <c r="D8" s="503"/>
      <c r="E8" s="558"/>
      <c r="F8" s="503"/>
      <c r="G8" s="509"/>
      <c r="H8" s="356" t="s">
        <v>30</v>
      </c>
      <c r="I8" s="356" t="s">
        <v>31</v>
      </c>
      <c r="J8" s="546"/>
      <c r="K8" s="358"/>
      <c r="L8" s="178" t="s">
        <v>279</v>
      </c>
      <c r="S8" s="363"/>
    </row>
    <row r="9" spans="1:28" ht="16.5" x14ac:dyDescent="0.25">
      <c r="A9" s="401" t="s">
        <v>35</v>
      </c>
      <c r="B9" s="69" t="s">
        <v>255</v>
      </c>
      <c r="C9" s="56" t="s">
        <v>631</v>
      </c>
      <c r="D9" s="57" t="s">
        <v>364</v>
      </c>
      <c r="E9" s="58">
        <v>0</v>
      </c>
      <c r="F9" s="70">
        <v>44</v>
      </c>
      <c r="G9" s="70">
        <f>220-F9</f>
        <v>176</v>
      </c>
      <c r="H9" s="364">
        <v>79.224800000000002</v>
      </c>
      <c r="I9" s="364">
        <v>43.1004</v>
      </c>
      <c r="J9" s="59">
        <f>E9*((F9*H9)+(G9*I9))</f>
        <v>0</v>
      </c>
      <c r="K9" s="365"/>
      <c r="L9" s="145" t="s">
        <v>1</v>
      </c>
      <c r="M9" s="145"/>
      <c r="N9" s="145" t="s">
        <v>9</v>
      </c>
      <c r="O9" s="145" t="s">
        <v>2</v>
      </c>
      <c r="P9" s="179" t="s">
        <v>3</v>
      </c>
      <c r="Q9" s="145" t="s">
        <v>326</v>
      </c>
      <c r="R9" s="145" t="s">
        <v>334</v>
      </c>
    </row>
    <row r="10" spans="1:28" ht="15" x14ac:dyDescent="0.25">
      <c r="A10" s="154"/>
      <c r="B10" s="190"/>
      <c r="C10" s="156"/>
      <c r="D10" s="352"/>
      <c r="E10" s="157"/>
      <c r="F10" s="158"/>
      <c r="G10" s="158"/>
      <c r="H10" s="158"/>
      <c r="I10" s="353" t="str">
        <f>CONCATENATE("Total do Item ",C2," - ",C7,":")</f>
        <v>Total do Item Laboratório de Solos para terraplenagem - Veículos:</v>
      </c>
      <c r="J10" s="63">
        <f>J9</f>
        <v>0</v>
      </c>
      <c r="K10" s="361"/>
      <c r="L10" s="61" t="s">
        <v>310</v>
      </c>
      <c r="M10" s="145"/>
      <c r="N10" s="180" t="s">
        <v>54</v>
      </c>
      <c r="O10" s="145" t="s">
        <v>280</v>
      </c>
      <c r="P10" s="181" t="s">
        <v>4</v>
      </c>
      <c r="Q10" s="145" t="s">
        <v>4</v>
      </c>
      <c r="R10" s="181" t="s">
        <v>4</v>
      </c>
    </row>
    <row r="11" spans="1:28" ht="13.9" customHeight="1" x14ac:dyDescent="0.25">
      <c r="A11" s="154"/>
      <c r="B11" s="190"/>
      <c r="C11" s="156"/>
      <c r="D11" s="158"/>
      <c r="E11" s="158"/>
      <c r="F11" s="352"/>
      <c r="G11" s="157"/>
      <c r="H11" s="157"/>
      <c r="I11" s="353" t="str">
        <f>CONCATENATE("Total do Item ",C2,":")</f>
        <v>Total do Item Laboratório de Solos para terraplenagem:</v>
      </c>
      <c r="J11" s="78">
        <f>J10+I6</f>
        <v>0</v>
      </c>
      <c r="K11" s="361"/>
      <c r="L11" s="77" t="s">
        <v>57</v>
      </c>
      <c r="M11" s="155" t="str">
        <f>'VARIÁVEL - FRENTES DE SERVIÇOS'!C15</f>
        <v>4011279</v>
      </c>
      <c r="N11" s="211" t="str">
        <f>'VARIÁVEL - FRENTES DE SERVIÇOS'!D15</f>
        <v>BASE OU SUB-BASE DE MACADAME SECO COM BRITA COMERCIAL</v>
      </c>
      <c r="O11" s="155" t="str">
        <f>'VARIÁVEL - FRENTES DE SERVIÇOS'!E15</f>
        <v>M³</v>
      </c>
      <c r="P11" s="399">
        <f>'VARIÁVEL - FRENTES DE SERVIÇOS'!F15</f>
        <v>2625</v>
      </c>
      <c r="Q11" s="183">
        <v>21900</v>
      </c>
      <c r="R11" s="184">
        <f>ROUND(P11/Q11,2)</f>
        <v>0.12</v>
      </c>
    </row>
    <row r="12" spans="1:28" ht="15" thickBot="1" x14ac:dyDescent="0.3">
      <c r="L12" s="77" t="s">
        <v>58</v>
      </c>
      <c r="M12" s="155" t="str">
        <f>'VARIÁVEL - FRENTES DE SERVIÇOS'!C16</f>
        <v>4011276</v>
      </c>
      <c r="N12" s="211" t="str">
        <f>'VARIÁVEL - FRENTES DE SERVIÇOS'!D16</f>
        <v>BASE OU SUB-BASE DE BRITA GRADUADA COM BRITA COMERCIAL</v>
      </c>
      <c r="O12" s="155" t="str">
        <f>'VARIÁVEL - FRENTES DE SERVIÇOS'!E16</f>
        <v>M³</v>
      </c>
      <c r="P12" s="399">
        <f>'VARIÁVEL - FRENTES DE SERVIÇOS'!F16</f>
        <v>1875</v>
      </c>
      <c r="Q12" s="183">
        <v>21900</v>
      </c>
      <c r="R12" s="184">
        <f>ROUND(P12/Q12,2)</f>
        <v>0.09</v>
      </c>
    </row>
    <row r="13" spans="1:28" ht="13.9" customHeight="1" x14ac:dyDescent="0.25">
      <c r="A13" s="61" t="s">
        <v>1</v>
      </c>
      <c r="B13" s="62"/>
      <c r="C13" s="212" t="s">
        <v>9</v>
      </c>
      <c r="D13" s="366"/>
      <c r="E13" s="367"/>
      <c r="F13" s="61" t="s">
        <v>2</v>
      </c>
      <c r="G13" s="61" t="s">
        <v>3</v>
      </c>
      <c r="H13" s="152" t="s">
        <v>10</v>
      </c>
      <c r="I13" s="152" t="s">
        <v>11</v>
      </c>
      <c r="J13" s="368"/>
      <c r="K13" s="358"/>
      <c r="L13" s="156"/>
      <c r="M13" s="155"/>
      <c r="N13" s="156"/>
      <c r="O13" s="185"/>
      <c r="P13" s="186"/>
      <c r="Q13" s="353" t="str">
        <f>CONCATENATE("Total de ",N10,":")</f>
        <v>Total de Equipes de laboratório de Solos para Pavimentação:</v>
      </c>
      <c r="R13" s="52">
        <f>SUM(R11:R12)</f>
        <v>0.21</v>
      </c>
      <c r="U13" s="547" t="s">
        <v>339</v>
      </c>
      <c r="V13" s="548"/>
      <c r="W13" s="548"/>
      <c r="X13" s="548"/>
      <c r="Y13" s="548"/>
      <c r="Z13" s="548"/>
      <c r="AA13" s="548"/>
      <c r="AB13" s="549"/>
    </row>
    <row r="14" spans="1:28" ht="15" customHeight="1" x14ac:dyDescent="0.25">
      <c r="A14" s="61" t="s">
        <v>310</v>
      </c>
      <c r="B14" s="62"/>
      <c r="C14" s="212" t="s">
        <v>51</v>
      </c>
      <c r="D14" s="369"/>
      <c r="E14" s="370"/>
      <c r="F14" s="145" t="s">
        <v>280</v>
      </c>
      <c r="G14" s="65"/>
      <c r="H14" s="146"/>
      <c r="I14" s="146"/>
      <c r="J14" s="188"/>
      <c r="K14" s="359"/>
      <c r="U14" s="550"/>
      <c r="V14" s="528"/>
      <c r="W14" s="528"/>
      <c r="X14" s="528"/>
      <c r="Y14" s="528"/>
      <c r="Z14" s="528"/>
      <c r="AA14" s="528"/>
      <c r="AB14" s="551"/>
    </row>
    <row r="15" spans="1:28" ht="17.45" customHeight="1" x14ac:dyDescent="0.25">
      <c r="A15" s="61" t="s">
        <v>295</v>
      </c>
      <c r="B15" s="62"/>
      <c r="C15" s="210" t="s">
        <v>12</v>
      </c>
      <c r="D15" s="369"/>
      <c r="E15" s="370"/>
      <c r="F15" s="145"/>
      <c r="G15" s="65"/>
      <c r="H15" s="146"/>
      <c r="I15" s="146"/>
      <c r="J15" s="217"/>
      <c r="K15" s="359"/>
      <c r="L15" s="178" t="s">
        <v>281</v>
      </c>
      <c r="U15" s="550"/>
      <c r="V15" s="528"/>
      <c r="W15" s="528"/>
      <c r="X15" s="528"/>
      <c r="Y15" s="528"/>
      <c r="Z15" s="528"/>
      <c r="AA15" s="528"/>
      <c r="AB15" s="551"/>
    </row>
    <row r="16" spans="1:28" ht="13.9" customHeight="1" x14ac:dyDescent="0.25">
      <c r="A16" s="67" t="s">
        <v>296</v>
      </c>
      <c r="B16" s="77" t="s">
        <v>98</v>
      </c>
      <c r="C16" s="541" t="s">
        <v>629</v>
      </c>
      <c r="D16" s="542"/>
      <c r="E16" s="543"/>
      <c r="F16" s="57" t="s">
        <v>611</v>
      </c>
      <c r="G16" s="58">
        <v>1</v>
      </c>
      <c r="H16" s="351">
        <f>VLOOKUP(B16,MO!$A$5:$F$114,6,0)</f>
        <v>6262.7002000000002</v>
      </c>
      <c r="I16" s="360">
        <f>H16*G16</f>
        <v>6262.7002000000002</v>
      </c>
      <c r="J16" s="188"/>
      <c r="K16" s="359"/>
      <c r="L16" s="145" t="s">
        <v>1</v>
      </c>
      <c r="M16" s="145"/>
      <c r="N16" s="145" t="s">
        <v>9</v>
      </c>
      <c r="O16" s="145" t="s">
        <v>2</v>
      </c>
      <c r="P16" s="179" t="s">
        <v>3</v>
      </c>
      <c r="Q16" s="145" t="s">
        <v>326</v>
      </c>
      <c r="R16" s="145" t="s">
        <v>335</v>
      </c>
      <c r="U16" s="550"/>
      <c r="V16" s="528"/>
      <c r="W16" s="528"/>
      <c r="X16" s="528"/>
      <c r="Y16" s="528"/>
      <c r="Z16" s="528"/>
      <c r="AA16" s="528"/>
      <c r="AB16" s="551"/>
    </row>
    <row r="17" spans="1:28" ht="13.9" customHeight="1" x14ac:dyDescent="0.25">
      <c r="A17" s="67" t="s">
        <v>327</v>
      </c>
      <c r="B17" s="77" t="s">
        <v>99</v>
      </c>
      <c r="C17" s="541" t="s">
        <v>630</v>
      </c>
      <c r="D17" s="542"/>
      <c r="E17" s="543"/>
      <c r="F17" s="57" t="s">
        <v>611</v>
      </c>
      <c r="G17" s="58">
        <v>1</v>
      </c>
      <c r="H17" s="351">
        <f>VLOOKUP(B17,MO!$A$5:$F$114,6,0)</f>
        <v>4930.3818000000001</v>
      </c>
      <c r="I17" s="360">
        <f>H17*G17</f>
        <v>4930.3818000000001</v>
      </c>
      <c r="J17" s="188"/>
      <c r="K17" s="359"/>
      <c r="L17" s="61" t="s">
        <v>132</v>
      </c>
      <c r="M17" s="145"/>
      <c r="N17" s="180" t="s">
        <v>55</v>
      </c>
      <c r="O17" s="145" t="s">
        <v>280</v>
      </c>
      <c r="P17" s="181" t="s">
        <v>4</v>
      </c>
      <c r="Q17" s="145" t="s">
        <v>4</v>
      </c>
      <c r="R17" s="181" t="s">
        <v>4</v>
      </c>
      <c r="T17" s="187"/>
      <c r="U17" s="550"/>
      <c r="V17" s="528"/>
      <c r="W17" s="528"/>
      <c r="X17" s="528"/>
      <c r="Y17" s="528"/>
      <c r="Z17" s="528"/>
      <c r="AA17" s="528"/>
      <c r="AB17" s="551"/>
    </row>
    <row r="18" spans="1:28" ht="14.45" customHeight="1" thickBot="1" x14ac:dyDescent="0.3">
      <c r="A18" s="147"/>
      <c r="B18" s="189"/>
      <c r="F18" s="149"/>
      <c r="G18" s="150"/>
      <c r="H18" s="149" t="str">
        <f>CONCATENATE("Total do Item ",C14," - ",C15,":")</f>
        <v>Total do Item Laboratório de Asfalto - Mão de Obra:</v>
      </c>
      <c r="I18" s="357">
        <f>SUM(I16:I17)</f>
        <v>11193.082</v>
      </c>
      <c r="J18" s="68"/>
      <c r="K18" s="361"/>
      <c r="L18" s="67" t="s">
        <v>133</v>
      </c>
      <c r="M18" s="57" t="str">
        <f>'VARIÁVEL - FRENTES DE SERVIÇOS'!C17</f>
        <v>4011352</v>
      </c>
      <c r="N18" s="222" t="str">
        <f>'VARIÁVEL - FRENTES DE SERVIÇOS'!D17</f>
        <v>IMPRIMAÇÃO COM EMULSÃO ASFÁLTICA</v>
      </c>
      <c r="O18" s="57" t="str">
        <f>'VARIÁVEL - FRENTES DE SERVIÇOS'!E17</f>
        <v>M²</v>
      </c>
      <c r="P18" s="120">
        <f>'VARIÁVEL - FRENTES DE SERVIÇOS'!F17</f>
        <v>7500</v>
      </c>
      <c r="Q18" s="221">
        <v>1610000</v>
      </c>
      <c r="R18" s="184">
        <f>ROUND(P18/Q18,2)</f>
        <v>0</v>
      </c>
      <c r="U18" s="552"/>
      <c r="V18" s="553"/>
      <c r="W18" s="553"/>
      <c r="X18" s="553"/>
      <c r="Y18" s="553"/>
      <c r="Z18" s="553"/>
      <c r="AA18" s="553"/>
      <c r="AB18" s="554"/>
    </row>
    <row r="19" spans="1:28" ht="15" customHeight="1" x14ac:dyDescent="0.25">
      <c r="A19" s="502" t="s">
        <v>58</v>
      </c>
      <c r="B19" s="354"/>
      <c r="C19" s="555" t="s">
        <v>27</v>
      </c>
      <c r="D19" s="502" t="s">
        <v>2</v>
      </c>
      <c r="E19" s="557" t="s">
        <v>3</v>
      </c>
      <c r="F19" s="508" t="s">
        <v>28</v>
      </c>
      <c r="G19" s="508" t="s">
        <v>243</v>
      </c>
      <c r="H19" s="559" t="s">
        <v>29</v>
      </c>
      <c r="I19" s="560"/>
      <c r="J19" s="393"/>
      <c r="K19" s="394"/>
      <c r="L19" s="67" t="s">
        <v>44</v>
      </c>
      <c r="M19" s="57" t="str">
        <f>'VARIÁVEL - FRENTES DE SERVIÇOS'!C18</f>
        <v>4011353</v>
      </c>
      <c r="N19" s="222" t="str">
        <f>'VARIÁVEL - FRENTES DE SERVIÇOS'!D18</f>
        <v>PINTURA DE LIGAÇÃO</v>
      </c>
      <c r="O19" s="57" t="str">
        <f>'VARIÁVEL - FRENTES DE SERVIÇOS'!E18</f>
        <v>M²</v>
      </c>
      <c r="P19" s="120">
        <f>'VARIÁVEL - FRENTES DE SERVIÇOS'!F18</f>
        <v>118487</v>
      </c>
      <c r="Q19" s="221">
        <v>3610000</v>
      </c>
      <c r="R19" s="184">
        <f>ROUND(P19/Q19,2)</f>
        <v>0.03</v>
      </c>
    </row>
    <row r="20" spans="1:28" ht="15" x14ac:dyDescent="0.25">
      <c r="A20" s="503"/>
      <c r="B20" s="355"/>
      <c r="C20" s="556"/>
      <c r="D20" s="503"/>
      <c r="E20" s="558"/>
      <c r="F20" s="509"/>
      <c r="G20" s="509"/>
      <c r="H20" s="356" t="s">
        <v>30</v>
      </c>
      <c r="I20" s="356" t="s">
        <v>31</v>
      </c>
      <c r="J20" s="395"/>
      <c r="K20" s="394"/>
      <c r="L20" s="67" t="s">
        <v>45</v>
      </c>
      <c r="M20" s="57" t="str">
        <f>'VARIÁVEL - FRENTES DE SERVIÇOS'!C19</f>
        <v>4011471</v>
      </c>
      <c r="N20" s="222" t="str">
        <f>'VARIÁVEL - FRENTES DE SERVIÇOS'!D19</f>
        <v>CONCRETO ASFÁLTICO COM BORRACHA - FAIXA C - BRITA COMERCIAL</v>
      </c>
      <c r="O20" s="57" t="str">
        <f>'VARIÁVEL - FRENTES DE SERVIÇOS'!E19</f>
        <v>T</v>
      </c>
      <c r="P20" s="120">
        <f>'VARIÁVEL - FRENTES DE SERVIÇOS'!F19</f>
        <v>8127</v>
      </c>
      <c r="Q20" s="221">
        <v>9000</v>
      </c>
      <c r="R20" s="184">
        <f>ROUND(P20/Q20,2)</f>
        <v>0.9</v>
      </c>
    </row>
    <row r="21" spans="1:28" x14ac:dyDescent="0.25">
      <c r="A21" s="67" t="s">
        <v>247</v>
      </c>
      <c r="B21" s="69" t="s">
        <v>255</v>
      </c>
      <c r="C21" s="56" t="s">
        <v>631</v>
      </c>
      <c r="D21" s="57" t="s">
        <v>364</v>
      </c>
      <c r="E21" s="58">
        <v>1</v>
      </c>
      <c r="F21" s="70">
        <v>44</v>
      </c>
      <c r="G21" s="70">
        <f>220-F21</f>
        <v>176</v>
      </c>
      <c r="H21" s="364">
        <f>H9</f>
        <v>79.224800000000002</v>
      </c>
      <c r="I21" s="364">
        <f>I9</f>
        <v>43.1004</v>
      </c>
      <c r="J21" s="59">
        <f>E21*((F21*H21)+(G21*I21))</f>
        <v>11071.561600000001</v>
      </c>
      <c r="K21" s="365"/>
      <c r="L21" s="67" t="s">
        <v>730</v>
      </c>
      <c r="M21" s="57">
        <f>'VARIÁVEL - FRENTES DE SERVIÇOS'!C20</f>
        <v>4011410</v>
      </c>
      <c r="N21" s="222" t="str">
        <f>'VARIÁVEL - FRENTES DE SERVIÇOS'!D20</f>
        <v>MICRORRESVESTIMENTO A FRIO COM EMULSÃO MODIFICADA</v>
      </c>
      <c r="O21" s="57" t="str">
        <f>'VARIÁVEL - FRENTES DE SERVIÇOS'!E20</f>
        <v>M²</v>
      </c>
      <c r="P21" s="120">
        <f>'VARIÁVEL - FRENTES DE SERVIÇOS'!F20</f>
        <v>42450</v>
      </c>
      <c r="Q21" s="221">
        <v>161000</v>
      </c>
      <c r="R21" s="184">
        <f>ROUND(P21/Q21,2)</f>
        <v>0.26</v>
      </c>
    </row>
    <row r="22" spans="1:28" ht="14.45" customHeight="1" x14ac:dyDescent="0.25">
      <c r="A22" s="154"/>
      <c r="B22" s="190"/>
      <c r="C22" s="156"/>
      <c r="D22" s="352"/>
      <c r="E22" s="157"/>
      <c r="F22" s="158"/>
      <c r="G22" s="158"/>
      <c r="H22" s="158"/>
      <c r="I22" s="353" t="str">
        <f>CONCATENATE("Total do Item ",C14," - ",C19,":")</f>
        <v>Total do Item Laboratório de Asfalto - Veículos:</v>
      </c>
      <c r="J22" s="63">
        <f>J21</f>
        <v>11071.561600000001</v>
      </c>
      <c r="K22" s="361"/>
      <c r="L22" s="156"/>
      <c r="M22" s="155"/>
      <c r="N22" s="156"/>
      <c r="O22" s="185"/>
      <c r="P22" s="186"/>
      <c r="Q22" s="353" t="str">
        <f>CONCATENATE("Total de ",N17,":")</f>
        <v>Total de Equipes de Laboratório de Asfaltos:</v>
      </c>
      <c r="R22" s="52">
        <f>SUM(R18:R21)</f>
        <v>1.19</v>
      </c>
    </row>
    <row r="23" spans="1:28" ht="13.9" customHeight="1" x14ac:dyDescent="0.25">
      <c r="A23" s="154"/>
      <c r="B23" s="190"/>
      <c r="C23" s="156"/>
      <c r="D23" s="158"/>
      <c r="E23" s="158"/>
      <c r="F23" s="352"/>
      <c r="G23" s="157"/>
      <c r="H23" s="157"/>
      <c r="I23" s="353" t="str">
        <f>CONCATENATE("Total do Item ",C14,":")</f>
        <v>Total do Item Laboratório de Asfalto:</v>
      </c>
      <c r="J23" s="78">
        <f>J22+I18</f>
        <v>22264.643600000003</v>
      </c>
      <c r="K23" s="361"/>
    </row>
    <row r="24" spans="1:28" ht="13.9" customHeight="1" x14ac:dyDescent="0.25">
      <c r="L24" s="178" t="s">
        <v>567</v>
      </c>
    </row>
    <row r="25" spans="1:28" ht="13.9" customHeight="1" x14ac:dyDescent="0.25">
      <c r="A25" s="61" t="s">
        <v>1</v>
      </c>
      <c r="B25" s="62"/>
      <c r="C25" s="535" t="s">
        <v>9</v>
      </c>
      <c r="D25" s="536"/>
      <c r="E25" s="537"/>
      <c r="F25" s="61" t="s">
        <v>2</v>
      </c>
      <c r="G25" s="61" t="s">
        <v>3</v>
      </c>
      <c r="H25" s="152" t="s">
        <v>10</v>
      </c>
      <c r="I25" s="152" t="s">
        <v>11</v>
      </c>
      <c r="J25" s="368"/>
      <c r="K25" s="358"/>
      <c r="L25" s="145" t="s">
        <v>1</v>
      </c>
      <c r="M25" s="145"/>
      <c r="N25" s="145" t="s">
        <v>9</v>
      </c>
      <c r="O25" s="145" t="s">
        <v>2</v>
      </c>
      <c r="P25" s="179" t="s">
        <v>3</v>
      </c>
      <c r="Q25" s="145" t="s">
        <v>336</v>
      </c>
      <c r="R25" s="145" t="s">
        <v>331</v>
      </c>
    </row>
    <row r="26" spans="1:28" ht="18" customHeight="1" x14ac:dyDescent="0.25">
      <c r="A26" s="61" t="s">
        <v>132</v>
      </c>
      <c r="B26" s="62"/>
      <c r="C26" s="538" t="s">
        <v>52</v>
      </c>
      <c r="D26" s="539"/>
      <c r="E26" s="540"/>
      <c r="F26" s="145" t="s">
        <v>280</v>
      </c>
      <c r="G26" s="65"/>
      <c r="H26" s="146"/>
      <c r="I26" s="146"/>
      <c r="J26" s="188"/>
      <c r="K26" s="359"/>
      <c r="L26" s="61" t="s">
        <v>568</v>
      </c>
      <c r="M26" s="145"/>
      <c r="N26" s="180" t="s">
        <v>56</v>
      </c>
      <c r="O26" s="145"/>
      <c r="P26" s="181"/>
      <c r="Q26" s="145"/>
      <c r="R26" s="181" t="s">
        <v>4</v>
      </c>
    </row>
    <row r="27" spans="1:28" ht="13.9" customHeight="1" x14ac:dyDescent="0.25">
      <c r="A27" s="61" t="s">
        <v>317</v>
      </c>
      <c r="B27" s="62"/>
      <c r="C27" s="538" t="s">
        <v>12</v>
      </c>
      <c r="D27" s="539"/>
      <c r="E27" s="540"/>
      <c r="F27" s="145"/>
      <c r="G27" s="65"/>
      <c r="H27" s="146"/>
      <c r="I27" s="146"/>
      <c r="J27" s="188"/>
      <c r="K27" s="359"/>
      <c r="L27" s="57" t="s">
        <v>137</v>
      </c>
      <c r="M27" s="57" t="str">
        <f>'VARIÁVEL - FRENTES DE SERVIÇOS'!C33</f>
        <v>0804015</v>
      </c>
      <c r="N27" s="222" t="str">
        <f>'VARIÁVEL - FRENTES DE SERVIÇOS'!D33</f>
        <v>BOCA DE BSTC D = 0,40 M - ESCONSIDADE 0° - AREIA E BRITA COMERCIAIS - ALAS RETAS</v>
      </c>
      <c r="O27" s="57" t="str">
        <f>'VARIÁVEL - FRENTES DE SERVIÇOS'!E33</f>
        <v>UN</v>
      </c>
      <c r="P27" s="120">
        <f>'VARIÁVEL - FRENTES DE SERVIÇOS'!F33</f>
        <v>3</v>
      </c>
      <c r="Q27" s="223">
        <v>2.7999999999999998E-4</v>
      </c>
      <c r="R27" s="184">
        <f>ROUND(P27*Q27,2)</f>
        <v>0</v>
      </c>
    </row>
    <row r="28" spans="1:28" ht="13.9" customHeight="1" x14ac:dyDescent="0.25">
      <c r="A28" s="67" t="s">
        <v>134</v>
      </c>
      <c r="B28" s="77" t="s">
        <v>98</v>
      </c>
      <c r="C28" s="541" t="s">
        <v>629</v>
      </c>
      <c r="D28" s="542"/>
      <c r="E28" s="543"/>
      <c r="F28" s="57" t="s">
        <v>611</v>
      </c>
      <c r="G28" s="58">
        <v>1</v>
      </c>
      <c r="H28" s="351">
        <f>VLOOKUP(B28,MO!$A$5:$F$114,6,0)</f>
        <v>6262.7002000000002</v>
      </c>
      <c r="I28" s="360">
        <f>H28*G28</f>
        <v>6262.7002000000002</v>
      </c>
      <c r="J28" s="188"/>
      <c r="K28" s="359"/>
      <c r="L28" s="57" t="s">
        <v>138</v>
      </c>
      <c r="M28" s="57" t="str">
        <f>'VARIÁVEL - FRENTES DE SERVIÇOS'!C34</f>
        <v>2003441</v>
      </c>
      <c r="N28" s="222" t="str">
        <f>'VARIÁVEL - FRENTES DE SERVIÇOS'!D34</f>
        <v>CORPO DE BSTC D = 0,40 M PA2 - AREIA, BRITA E PEDRA DE MÃO COMERCIAIS</v>
      </c>
      <c r="O28" s="57" t="str">
        <f>'VARIÁVEL - FRENTES DE SERVIÇOS'!E34</f>
        <v>M</v>
      </c>
      <c r="P28" s="120">
        <f>'VARIÁVEL - FRENTES DE SERVIÇOS'!F34</f>
        <v>411</v>
      </c>
      <c r="Q28" s="223">
        <v>6.0000000000000002E-5</v>
      </c>
      <c r="R28" s="184">
        <f t="shared" ref="R28" si="0">ROUND(P28*Q28,2)</f>
        <v>0.02</v>
      </c>
    </row>
    <row r="29" spans="1:28" ht="18" x14ac:dyDescent="0.25">
      <c r="A29" s="67" t="s">
        <v>135</v>
      </c>
      <c r="B29" s="77" t="s">
        <v>99</v>
      </c>
      <c r="C29" s="541" t="s">
        <v>630</v>
      </c>
      <c r="D29" s="542"/>
      <c r="E29" s="543"/>
      <c r="F29" s="57" t="s">
        <v>611</v>
      </c>
      <c r="G29" s="58">
        <v>1</v>
      </c>
      <c r="H29" s="351">
        <f>VLOOKUP(B29,MO!$A$5:$F$114,6,0)</f>
        <v>4930.3818000000001</v>
      </c>
      <c r="I29" s="360">
        <f>H29*G29</f>
        <v>4930.3818000000001</v>
      </c>
      <c r="J29" s="188"/>
      <c r="K29" s="359"/>
      <c r="L29" s="156"/>
      <c r="M29" s="155"/>
      <c r="N29" s="156"/>
      <c r="O29" s="185"/>
      <c r="P29" s="186"/>
      <c r="Q29" s="353" t="s">
        <v>604</v>
      </c>
      <c r="R29" s="52">
        <f>SUM(R27:R28)</f>
        <v>0.02</v>
      </c>
      <c r="S29" s="187"/>
      <c r="T29" s="187"/>
    </row>
    <row r="30" spans="1:28" ht="15" x14ac:dyDescent="0.25">
      <c r="A30" s="147"/>
      <c r="B30" s="189"/>
      <c r="F30" s="149"/>
      <c r="G30" s="150"/>
      <c r="H30" s="149" t="str">
        <f>CONCATENATE("Total do Item ",C26," - ",C27,":")</f>
        <v>Total do Item Laboratório de Concreto - Mão de Obra:</v>
      </c>
      <c r="I30" s="357">
        <f>SUM(I28:I29)</f>
        <v>11193.082</v>
      </c>
      <c r="J30" s="348"/>
      <c r="K30" s="361"/>
    </row>
    <row r="31" spans="1:28" ht="15" customHeight="1" x14ac:dyDescent="0.25">
      <c r="A31" s="502" t="s">
        <v>44</v>
      </c>
      <c r="B31" s="354"/>
      <c r="C31" s="555" t="s">
        <v>27</v>
      </c>
      <c r="D31" s="502" t="s">
        <v>2</v>
      </c>
      <c r="E31" s="557" t="s">
        <v>3</v>
      </c>
      <c r="F31" s="508" t="s">
        <v>28</v>
      </c>
      <c r="G31" s="508" t="s">
        <v>243</v>
      </c>
      <c r="H31" s="544" t="s">
        <v>29</v>
      </c>
      <c r="I31" s="544"/>
      <c r="J31" s="545"/>
      <c r="K31" s="358"/>
      <c r="L31" s="156"/>
      <c r="M31" s="155"/>
      <c r="N31" s="497" t="s">
        <v>351</v>
      </c>
      <c r="O31" s="498"/>
      <c r="P31" s="498"/>
      <c r="Q31" s="499"/>
      <c r="R31" s="52">
        <f>R29+R22+R13+R6</f>
        <v>1.42</v>
      </c>
    </row>
    <row r="32" spans="1:28" ht="15" x14ac:dyDescent="0.25">
      <c r="A32" s="503"/>
      <c r="B32" s="355"/>
      <c r="C32" s="556"/>
      <c r="D32" s="503"/>
      <c r="E32" s="558"/>
      <c r="F32" s="509"/>
      <c r="G32" s="509"/>
      <c r="H32" s="356" t="s">
        <v>30</v>
      </c>
      <c r="I32" s="356" t="s">
        <v>31</v>
      </c>
      <c r="J32" s="546"/>
      <c r="K32" s="358"/>
    </row>
    <row r="33" spans="1:22" ht="15" customHeight="1" x14ac:dyDescent="0.25">
      <c r="A33" s="67" t="s">
        <v>248</v>
      </c>
      <c r="B33" s="69" t="s">
        <v>255</v>
      </c>
      <c r="C33" s="56" t="s">
        <v>631</v>
      </c>
      <c r="D33" s="57" t="s">
        <v>364</v>
      </c>
      <c r="E33" s="87">
        <v>1</v>
      </c>
      <c r="F33" s="70">
        <v>44</v>
      </c>
      <c r="G33" s="70">
        <f>220-F33</f>
        <v>176</v>
      </c>
      <c r="H33" s="364">
        <f>H9</f>
        <v>79.224800000000002</v>
      </c>
      <c r="I33" s="364">
        <f>I9</f>
        <v>43.1004</v>
      </c>
      <c r="J33" s="59">
        <f>E33*((F33*H33)+(G33*I33))</f>
        <v>11071.561600000001</v>
      </c>
      <c r="K33" s="371"/>
    </row>
    <row r="34" spans="1:22" ht="18" x14ac:dyDescent="0.25">
      <c r="A34" s="154"/>
      <c r="B34" s="190"/>
      <c r="C34" s="156"/>
      <c r="D34" s="352"/>
      <c r="E34" s="157"/>
      <c r="F34" s="158"/>
      <c r="G34" s="158"/>
      <c r="H34" s="158"/>
      <c r="I34" s="353" t="str">
        <f>CONCATENATE("Total do Item ",C26," - ",C31,":")</f>
        <v>Total do Item Laboratório de Concreto - Veículos:</v>
      </c>
      <c r="J34" s="63">
        <f>J33</f>
        <v>11071.561600000001</v>
      </c>
      <c r="K34" s="187"/>
    </row>
    <row r="35" spans="1:22" ht="15" x14ac:dyDescent="0.25">
      <c r="A35" s="154"/>
      <c r="B35" s="190"/>
      <c r="C35" s="156"/>
      <c r="D35" s="158"/>
      <c r="E35" s="158"/>
      <c r="F35" s="352"/>
      <c r="G35" s="157"/>
      <c r="H35" s="157"/>
      <c r="I35" s="353" t="str">
        <f>CONCATENATE("Total do Item ",C26,":")</f>
        <v>Total do Item Laboratório de Concreto:</v>
      </c>
      <c r="J35" s="78">
        <f>J34+I30</f>
        <v>22264.643600000003</v>
      </c>
      <c r="K35" s="361"/>
      <c r="V35" s="182"/>
    </row>
    <row r="37" spans="1:22" s="18" customFormat="1" ht="15" x14ac:dyDescent="0.25">
      <c r="A37" s="497" t="s">
        <v>350</v>
      </c>
      <c r="B37" s="498"/>
      <c r="C37" s="498"/>
      <c r="D37" s="498"/>
      <c r="E37" s="498"/>
      <c r="F37" s="498"/>
      <c r="G37" s="498"/>
      <c r="H37" s="498"/>
      <c r="I37" s="499"/>
      <c r="J37" s="143">
        <f>ROUNDUP((G4*R31/3)+(G5*R31/3)+(G16*R31/3)+(G17*R31/3)+(G28*R31/3)+(G29*R31/3),0)</f>
        <v>2</v>
      </c>
      <c r="L37" s="148"/>
      <c r="M37" s="208"/>
      <c r="N37" s="148"/>
      <c r="O37" s="208"/>
      <c r="P37" s="148"/>
      <c r="Q37" s="148"/>
      <c r="R37" s="148"/>
    </row>
    <row r="38" spans="1:22" x14ac:dyDescent="0.25">
      <c r="K38" s="359"/>
    </row>
    <row r="39" spans="1:22" ht="18" x14ac:dyDescent="0.25">
      <c r="K39" s="359"/>
      <c r="S39" s="187"/>
    </row>
    <row r="40" spans="1:22" x14ac:dyDescent="0.25">
      <c r="K40" s="359"/>
    </row>
    <row r="41" spans="1:22" x14ac:dyDescent="0.25">
      <c r="K41" s="359"/>
    </row>
    <row r="42" spans="1:22" x14ac:dyDescent="0.25">
      <c r="K42" s="359"/>
    </row>
    <row r="43" spans="1:22" ht="15.75" customHeight="1" x14ac:dyDescent="0.25">
      <c r="K43" s="361"/>
    </row>
    <row r="44" spans="1:22" ht="15" x14ac:dyDescent="0.25">
      <c r="K44" s="358"/>
    </row>
    <row r="45" spans="1:22" ht="15" x14ac:dyDescent="0.25">
      <c r="K45" s="358"/>
    </row>
    <row r="46" spans="1:22" ht="18" x14ac:dyDescent="0.25">
      <c r="K46" s="365"/>
      <c r="S46" s="187"/>
    </row>
    <row r="47" spans="1:22" ht="15" x14ac:dyDescent="0.25">
      <c r="K47" s="361"/>
    </row>
    <row r="48" spans="1:22" ht="15" x14ac:dyDescent="0.25">
      <c r="K48" s="361"/>
    </row>
    <row r="51" ht="16.5" customHeight="1" x14ac:dyDescent="0.25"/>
    <row r="67" ht="18.75" customHeight="1" x14ac:dyDescent="0.25"/>
    <row r="69" ht="16.5" customHeight="1" x14ac:dyDescent="0.25"/>
  </sheetData>
  <mergeCells count="38">
    <mergeCell ref="C29:E29"/>
    <mergeCell ref="H31:I31"/>
    <mergeCell ref="J31:J32"/>
    <mergeCell ref="A37:I37"/>
    <mergeCell ref="N31:Q31"/>
    <mergeCell ref="A31:A32"/>
    <mergeCell ref="C31:C32"/>
    <mergeCell ref="D31:D32"/>
    <mergeCell ref="E31:E32"/>
    <mergeCell ref="F31:F32"/>
    <mergeCell ref="G31:G32"/>
    <mergeCell ref="H19:I19"/>
    <mergeCell ref="C25:E25"/>
    <mergeCell ref="C26:E26"/>
    <mergeCell ref="C27:E27"/>
    <mergeCell ref="C28:E28"/>
    <mergeCell ref="F19:F20"/>
    <mergeCell ref="G19:G20"/>
    <mergeCell ref="A19:A20"/>
    <mergeCell ref="C19:C20"/>
    <mergeCell ref="D19:D20"/>
    <mergeCell ref="E19:E20"/>
    <mergeCell ref="F7:F8"/>
    <mergeCell ref="A7:A8"/>
    <mergeCell ref="G7:G8"/>
    <mergeCell ref="H7:I7"/>
    <mergeCell ref="J7:J8"/>
    <mergeCell ref="U13:AB18"/>
    <mergeCell ref="C17:E17"/>
    <mergeCell ref="C7:C8"/>
    <mergeCell ref="D7:D8"/>
    <mergeCell ref="E7:E8"/>
    <mergeCell ref="C16:E16"/>
    <mergeCell ref="C1:E1"/>
    <mergeCell ref="C2:E2"/>
    <mergeCell ref="C3:E3"/>
    <mergeCell ref="C4:E4"/>
    <mergeCell ref="C5:E5"/>
  </mergeCells>
  <phoneticPr fontId="60" type="noConversion"/>
  <printOptions horizontalCentered="1"/>
  <pageMargins left="0.78740157480314965" right="0.59055118110236227" top="0.78740157480314965" bottom="0.59055118110236227" header="0.31496062992125984" footer="0.31496062992125984"/>
  <pageSetup paperSize="9" scale="24" orientation="portrait" r:id="rId1"/>
  <headerFooter>
    <oddFooter>&amp;A</oddFooter>
  </headerFooter>
  <colBreaks count="1" manualBreakCount="1">
    <brk id="10" max="155" man="1"/>
  </colBreaks>
  <drawing r:id="rId2"/>
  <legacyDrawing r:id="rId3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rgb="FF0000FF"/>
    <pageSetUpPr fitToPage="1"/>
  </sheetPr>
  <dimension ref="A1:P32"/>
  <sheetViews>
    <sheetView showGridLines="0" view="pageBreakPreview" zoomScaleNormal="70" zoomScaleSheetLayoutView="100" workbookViewId="0">
      <selection activeCell="V17" sqref="V17"/>
    </sheetView>
  </sheetViews>
  <sheetFormatPr defaultColWidth="8.85546875" defaultRowHeight="14.25" x14ac:dyDescent="0.25"/>
  <cols>
    <col min="1" max="1" width="8.85546875" style="88"/>
    <col min="2" max="2" width="9.140625" style="88"/>
    <col min="3" max="3" width="62.7109375" style="88" customWidth="1"/>
    <col min="4" max="4" width="13.42578125" style="88" customWidth="1"/>
    <col min="5" max="5" width="15.140625" style="88" customWidth="1"/>
    <col min="6" max="6" width="11.28515625" style="88" customWidth="1"/>
    <col min="7" max="7" width="11.140625" style="88" bestFit="1" customWidth="1"/>
    <col min="8" max="8" width="10.5703125" style="88" bestFit="1" customWidth="1"/>
    <col min="9" max="9" width="0" style="88" hidden="1" customWidth="1"/>
    <col min="10" max="10" width="5.42578125" style="88" hidden="1" customWidth="1"/>
    <col min="11" max="11" width="2.28515625" style="167" hidden="1" customWidth="1"/>
    <col min="12" max="12" width="5.42578125" style="88" hidden="1" customWidth="1"/>
    <col min="13" max="13" width="2.28515625" style="88" hidden="1" customWidth="1"/>
    <col min="14" max="14" width="10" style="88" hidden="1" customWidth="1"/>
    <col min="15" max="15" width="2.28515625" style="88" hidden="1" customWidth="1"/>
    <col min="16" max="16" width="7.140625" style="88" hidden="1" customWidth="1"/>
    <col min="17" max="18" width="0" style="88" hidden="1" customWidth="1"/>
    <col min="19" max="16384" width="8.85546875" style="88"/>
  </cols>
  <sheetData>
    <row r="1" spans="1:8" ht="15" x14ac:dyDescent="0.25">
      <c r="A1" s="61" t="s">
        <v>1</v>
      </c>
      <c r="B1" s="61"/>
      <c r="C1" s="79" t="s">
        <v>9</v>
      </c>
      <c r="D1" s="61" t="s">
        <v>2</v>
      </c>
      <c r="E1" s="61" t="s">
        <v>3</v>
      </c>
      <c r="F1" s="64" t="s">
        <v>10</v>
      </c>
      <c r="G1" s="64" t="s">
        <v>11</v>
      </c>
    </row>
    <row r="2" spans="1:8" ht="15" x14ac:dyDescent="0.25">
      <c r="A2" s="61" t="s">
        <v>132</v>
      </c>
      <c r="B2" s="61"/>
      <c r="C2" s="80" t="s">
        <v>32</v>
      </c>
      <c r="D2" s="67"/>
      <c r="E2" s="80"/>
      <c r="F2" s="81"/>
      <c r="G2" s="81"/>
    </row>
    <row r="3" spans="1:8" ht="15" x14ac:dyDescent="0.25">
      <c r="A3" s="61" t="s">
        <v>133</v>
      </c>
      <c r="B3" s="61"/>
      <c r="C3" s="80" t="s">
        <v>12</v>
      </c>
      <c r="D3" s="15" t="s">
        <v>14</v>
      </c>
      <c r="E3" s="65"/>
      <c r="F3" s="66"/>
      <c r="G3" s="66"/>
    </row>
    <row r="4" spans="1:8" x14ac:dyDescent="0.2">
      <c r="A4" s="67" t="s">
        <v>134</v>
      </c>
      <c r="B4" s="67" t="s">
        <v>266</v>
      </c>
      <c r="C4" s="56" t="s">
        <v>632</v>
      </c>
      <c r="D4" s="57" t="s">
        <v>611</v>
      </c>
      <c r="E4" s="122">
        <f>0.2*$E$21</f>
        <v>7.9259301713672393E-3</v>
      </c>
      <c r="F4" s="398">
        <f>VLOOKUP(B4,MO!$A$5:$F$114,6,0)</f>
        <v>5208.0236000000004</v>
      </c>
      <c r="G4" s="121">
        <f>F4*E4</f>
        <v>41.278431384432629</v>
      </c>
      <c r="H4" s="174"/>
    </row>
    <row r="5" spans="1:8" x14ac:dyDescent="0.2">
      <c r="A5" s="67" t="s">
        <v>135</v>
      </c>
      <c r="B5" s="67" t="s">
        <v>267</v>
      </c>
      <c r="C5" s="56" t="s">
        <v>633</v>
      </c>
      <c r="D5" s="57" t="s">
        <v>611</v>
      </c>
      <c r="E5" s="122">
        <f>0.2*$E$21</f>
        <v>7.9259301713672393E-3</v>
      </c>
      <c r="F5" s="398">
        <f>VLOOKUP(B5,MO!$A$5:$F$114,6,0)</f>
        <v>4031.4409999999998</v>
      </c>
      <c r="G5" s="121">
        <f t="shared" ref="G5:G6" si="0">F5*E5</f>
        <v>31.952919855986913</v>
      </c>
    </row>
    <row r="6" spans="1:8" x14ac:dyDescent="0.2">
      <c r="A6" s="67" t="s">
        <v>136</v>
      </c>
      <c r="B6" s="67" t="s">
        <v>268</v>
      </c>
      <c r="C6" s="56" t="s">
        <v>634</v>
      </c>
      <c r="D6" s="57" t="s">
        <v>611</v>
      </c>
      <c r="E6" s="122">
        <f>0.2*$E$21</f>
        <v>7.9259301713672393E-3</v>
      </c>
      <c r="F6" s="398">
        <f>VLOOKUP(B6,MO!$A$5:$F$114,6,0)</f>
        <v>5545.6189000000004</v>
      </c>
      <c r="G6" s="121">
        <f t="shared" si="0"/>
        <v>43.954188158414404</v>
      </c>
    </row>
    <row r="7" spans="1:8" ht="15" x14ac:dyDescent="0.25">
      <c r="A7" s="73"/>
      <c r="B7" s="74"/>
      <c r="C7" s="16"/>
      <c r="D7" s="75"/>
      <c r="E7" s="76"/>
      <c r="F7" s="17" t="str">
        <f>CONCATENATE("Total do Item ",C2," - ",C3,":")</f>
        <v>Total do Item Manutenção do Canteiro de Obras e Acampamentos - Mão de Obra:</v>
      </c>
      <c r="G7" s="63">
        <f>ROUND(SUM(G4:G6),2)</f>
        <v>117.19</v>
      </c>
    </row>
    <row r="8" spans="1:8" ht="15" x14ac:dyDescent="0.25">
      <c r="A8" s="61" t="s">
        <v>325</v>
      </c>
      <c r="B8" s="61"/>
      <c r="C8" s="80" t="s">
        <v>33</v>
      </c>
      <c r="D8" s="15" t="s">
        <v>14</v>
      </c>
      <c r="E8" s="63"/>
      <c r="F8" s="83"/>
      <c r="G8" s="64"/>
    </row>
    <row r="9" spans="1:8" x14ac:dyDescent="0.2">
      <c r="A9" s="67" t="s">
        <v>248</v>
      </c>
      <c r="B9" s="67" t="s">
        <v>236</v>
      </c>
      <c r="C9" s="56" t="s">
        <v>635</v>
      </c>
      <c r="D9" s="57" t="s">
        <v>364</v>
      </c>
      <c r="E9" s="123">
        <f>11*$E$21</f>
        <v>0.43592615942519813</v>
      </c>
      <c r="F9" s="397">
        <v>310.5883</v>
      </c>
      <c r="G9" s="124">
        <f t="shared" ref="G9" si="1">ROUND(F9*E9,2)</f>
        <v>135.38999999999999</v>
      </c>
    </row>
    <row r="10" spans="1:8" x14ac:dyDescent="0.2">
      <c r="A10" s="67" t="s">
        <v>323</v>
      </c>
      <c r="B10" s="67" t="s">
        <v>237</v>
      </c>
      <c r="C10" s="56" t="s">
        <v>636</v>
      </c>
      <c r="D10" s="57" t="s">
        <v>364</v>
      </c>
      <c r="E10" s="123">
        <f>22*$E$21</f>
        <v>0.87185231885039627</v>
      </c>
      <c r="F10" s="397">
        <v>259.43849999999998</v>
      </c>
      <c r="G10" s="124">
        <f t="shared" ref="G10:G11" si="2">ROUND(F10*E10,2)</f>
        <v>226.19</v>
      </c>
    </row>
    <row r="11" spans="1:8" x14ac:dyDescent="0.2">
      <c r="A11" s="67" t="s">
        <v>324</v>
      </c>
      <c r="B11" s="67" t="s">
        <v>238</v>
      </c>
      <c r="C11" s="56" t="s">
        <v>637</v>
      </c>
      <c r="D11" s="57" t="s">
        <v>364</v>
      </c>
      <c r="E11" s="123">
        <f>11*$E$21</f>
        <v>0.43592615942519813</v>
      </c>
      <c r="F11" s="397">
        <v>284.42570000000001</v>
      </c>
      <c r="G11" s="124">
        <f t="shared" si="2"/>
        <v>123.99</v>
      </c>
    </row>
    <row r="12" spans="1:8" ht="15" x14ac:dyDescent="0.25">
      <c r="A12" s="73"/>
      <c r="B12" s="74"/>
      <c r="C12" s="16"/>
      <c r="D12" s="75"/>
      <c r="E12" s="82"/>
      <c r="F12" s="17" t="str">
        <f>CONCATENATE("Total do Item ",C2," - ",C8,":")</f>
        <v>Total do Item Manutenção do Canteiro de Obras e Acampamentos - Equipamentos:</v>
      </c>
      <c r="G12" s="63">
        <f>SUM(G9:G11)</f>
        <v>485.57</v>
      </c>
    </row>
    <row r="13" spans="1:8" ht="15" x14ac:dyDescent="0.25">
      <c r="A13" s="73"/>
      <c r="B13" s="74"/>
      <c r="C13" s="16"/>
      <c r="D13" s="75"/>
      <c r="E13" s="76"/>
      <c r="F13" s="17" t="str">
        <f>CONCATENATE("Total do Item ",C2,":")</f>
        <v>Total do Item Manutenção do Canteiro de Obras e Acampamentos:</v>
      </c>
      <c r="G13" s="78">
        <f>G12+G7</f>
        <v>602.76</v>
      </c>
    </row>
    <row r="15" spans="1:8" x14ac:dyDescent="0.25">
      <c r="C15" s="84" t="s">
        <v>234</v>
      </c>
    </row>
    <row r="16" spans="1:8" x14ac:dyDescent="0.25">
      <c r="C16" s="84"/>
    </row>
    <row r="17" spans="1:16" ht="33" x14ac:dyDescent="0.25">
      <c r="C17" s="85" t="s">
        <v>282</v>
      </c>
    </row>
    <row r="18" spans="1:16" ht="35.25" x14ac:dyDescent="0.25">
      <c r="C18" s="85" t="s">
        <v>283</v>
      </c>
      <c r="E18" s="174"/>
    </row>
    <row r="19" spans="1:16" ht="35.25" x14ac:dyDescent="0.25">
      <c r="C19" s="85" t="s">
        <v>284</v>
      </c>
    </row>
    <row r="21" spans="1:16" x14ac:dyDescent="0.25">
      <c r="C21" s="296"/>
      <c r="D21" s="299">
        <v>76.06</v>
      </c>
      <c r="E21" s="561">
        <f>D21/D22</f>
        <v>3.9629650856836195E-2</v>
      </c>
      <c r="F21" s="563" t="s">
        <v>285</v>
      </c>
    </row>
    <row r="22" spans="1:16" x14ac:dyDescent="0.25">
      <c r="C22" s="295"/>
      <c r="D22" s="215">
        <v>1919.27</v>
      </c>
      <c r="E22" s="561"/>
      <c r="F22" s="563"/>
    </row>
    <row r="26" spans="1:16" ht="15" x14ac:dyDescent="0.25">
      <c r="A26" s="115"/>
      <c r="D26" s="175"/>
    </row>
    <row r="27" spans="1:16" x14ac:dyDescent="0.25">
      <c r="C27" s="562"/>
      <c r="D27" s="562"/>
    </row>
    <row r="28" spans="1:16" x14ac:dyDescent="0.25">
      <c r="C28" s="176"/>
      <c r="D28" s="177"/>
    </row>
    <row r="29" spans="1:16" x14ac:dyDescent="0.25">
      <c r="C29" s="176"/>
      <c r="J29" s="176" t="s">
        <v>285</v>
      </c>
      <c r="K29" s="167" t="s">
        <v>352</v>
      </c>
      <c r="L29" s="298" t="s">
        <v>353</v>
      </c>
      <c r="M29" s="88" t="s">
        <v>352</v>
      </c>
      <c r="N29" s="297">
        <v>2384.25</v>
      </c>
      <c r="O29" s="88" t="s">
        <v>352</v>
      </c>
      <c r="P29" s="88">
        <f>N29/N30</f>
        <v>1.2422691961006007</v>
      </c>
    </row>
    <row r="30" spans="1:16" x14ac:dyDescent="0.25">
      <c r="C30" s="176"/>
      <c r="D30" s="177"/>
      <c r="L30" s="167" t="s">
        <v>354</v>
      </c>
      <c r="N30" s="177">
        <v>1919.27</v>
      </c>
    </row>
    <row r="31" spans="1:16" x14ac:dyDescent="0.25">
      <c r="C31" s="176"/>
    </row>
    <row r="32" spans="1:16" x14ac:dyDescent="0.25">
      <c r="C32" s="176"/>
      <c r="D32" s="177"/>
    </row>
  </sheetData>
  <mergeCells count="3">
    <mergeCell ref="E21:E22"/>
    <mergeCell ref="C27:D27"/>
    <mergeCell ref="F21:F22"/>
  </mergeCells>
  <printOptions horizontalCentered="1"/>
  <pageMargins left="0.78740157480314965" right="0.51181102362204722" top="0.78740157480314965" bottom="0.78740157480314965" header="0.31496062992125984" footer="0.31496062992125984"/>
  <pageSetup paperSize="9" scale="67" fitToHeight="0" orientation="portrait" r:id="rId1"/>
  <headerFooter>
    <oddFooter>&amp;C&amp;A</oddFooter>
  </headerFooter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193"/>
  <sheetViews>
    <sheetView showGridLines="0" view="pageBreakPreview" zoomScale="85" zoomScaleNormal="100" zoomScaleSheetLayoutView="85" workbookViewId="0">
      <selection activeCell="I25" sqref="I25"/>
    </sheetView>
  </sheetViews>
  <sheetFormatPr defaultColWidth="8.85546875" defaultRowHeight="14.25" x14ac:dyDescent="0.2"/>
  <cols>
    <col min="1" max="1" width="9.140625" style="60" customWidth="1"/>
    <col min="2" max="2" width="19.42578125" style="60" customWidth="1"/>
    <col min="3" max="3" width="24.42578125" style="60" bestFit="1" customWidth="1"/>
    <col min="4" max="4" width="14.42578125" style="60" customWidth="1"/>
    <col min="5" max="5" width="12.42578125" style="60" customWidth="1"/>
    <col min="6" max="6" width="11.5703125" style="60" customWidth="1"/>
    <col min="7" max="7" width="11.42578125" style="60" customWidth="1"/>
    <col min="8" max="8" width="12.140625" style="60" customWidth="1"/>
    <col min="9" max="9" width="13.7109375" style="60" customWidth="1"/>
    <col min="10" max="16384" width="8.85546875" style="60"/>
  </cols>
  <sheetData>
    <row r="1" spans="2:5" x14ac:dyDescent="0.2">
      <c r="B1" s="23" t="s">
        <v>159</v>
      </c>
    </row>
    <row r="2" spans="2:5" ht="24.75" thickBot="1" x14ac:dyDescent="0.25">
      <c r="B2" s="116" t="s">
        <v>67</v>
      </c>
      <c r="C2" s="117" t="s">
        <v>68</v>
      </c>
    </row>
    <row r="3" spans="2:5" ht="15" thickBot="1" x14ac:dyDescent="0.25">
      <c r="B3" s="20" t="s">
        <v>69</v>
      </c>
      <c r="C3" s="21">
        <v>2.1000000000000001E-4</v>
      </c>
    </row>
    <row r="4" spans="2:5" ht="15" thickBot="1" x14ac:dyDescent="0.25">
      <c r="B4" s="20" t="s">
        <v>70</v>
      </c>
      <c r="C4" s="21">
        <v>1.9000000000000001E-4</v>
      </c>
    </row>
    <row r="5" spans="2:5" ht="15" thickBot="1" x14ac:dyDescent="0.25">
      <c r="B5" s="20" t="s">
        <v>71</v>
      </c>
      <c r="C5" s="21">
        <v>2.7999999999999998E-4</v>
      </c>
    </row>
    <row r="6" spans="2:5" ht="24.75" thickBot="1" x14ac:dyDescent="0.25">
      <c r="B6" s="20" t="s">
        <v>72</v>
      </c>
      <c r="C6" s="21">
        <v>9.0000000000000006E-5</v>
      </c>
    </row>
    <row r="7" spans="2:5" ht="24.75" thickBot="1" x14ac:dyDescent="0.25">
      <c r="B7" s="20" t="s">
        <v>73</v>
      </c>
      <c r="C7" s="21">
        <v>2.4000000000000001E-4</v>
      </c>
    </row>
    <row r="8" spans="2:5" ht="15" x14ac:dyDescent="0.2">
      <c r="B8" s="1"/>
    </row>
    <row r="9" spans="2:5" x14ac:dyDescent="0.2">
      <c r="B9" s="23" t="s">
        <v>160</v>
      </c>
    </row>
    <row r="10" spans="2:5" ht="18.75" customHeight="1" thickBot="1" x14ac:dyDescent="0.25">
      <c r="B10" s="475" t="s">
        <v>74</v>
      </c>
      <c r="C10" s="476" t="s">
        <v>68</v>
      </c>
      <c r="D10" s="477"/>
      <c r="E10" s="477"/>
    </row>
    <row r="11" spans="2:5" ht="15" thickBot="1" x14ac:dyDescent="0.25">
      <c r="B11" s="464"/>
      <c r="C11" s="116" t="s">
        <v>75</v>
      </c>
      <c r="D11" s="116" t="s">
        <v>76</v>
      </c>
      <c r="E11" s="22" t="s">
        <v>77</v>
      </c>
    </row>
    <row r="12" spans="2:5" ht="15" thickBot="1" x14ac:dyDescent="0.25">
      <c r="B12" s="2">
        <v>0.4</v>
      </c>
      <c r="C12" s="2">
        <v>7.2999999999999996E-4</v>
      </c>
      <c r="D12" s="2">
        <v>1.4599999999999999E-3</v>
      </c>
      <c r="E12" s="21">
        <v>2.1900000000000001E-3</v>
      </c>
    </row>
    <row r="13" spans="2:5" ht="15" thickBot="1" x14ac:dyDescent="0.25">
      <c r="B13" s="2">
        <v>0.6</v>
      </c>
      <c r="C13" s="2">
        <v>9.8999999999999999E-4</v>
      </c>
      <c r="D13" s="2">
        <v>1.98E-3</v>
      </c>
      <c r="E13" s="21">
        <v>2.97E-3</v>
      </c>
    </row>
    <row r="14" spans="2:5" ht="15" thickBot="1" x14ac:dyDescent="0.25">
      <c r="B14" s="2">
        <v>0.8</v>
      </c>
      <c r="C14" s="2">
        <v>1.31E-3</v>
      </c>
      <c r="D14" s="2">
        <v>2.6199999999999999E-3</v>
      </c>
      <c r="E14" s="21">
        <v>3.9300000000000003E-3</v>
      </c>
    </row>
    <row r="15" spans="2:5" ht="15" thickBot="1" x14ac:dyDescent="0.25">
      <c r="B15" s="19">
        <v>1</v>
      </c>
      <c r="C15" s="2">
        <v>1.64E-3</v>
      </c>
      <c r="D15" s="2">
        <v>3.2799999999999999E-3</v>
      </c>
      <c r="E15" s="21">
        <v>4.9199999999999999E-3</v>
      </c>
    </row>
    <row r="16" spans="2:5" ht="15" thickBot="1" x14ac:dyDescent="0.25">
      <c r="B16" s="19">
        <v>1.2</v>
      </c>
      <c r="C16" s="2">
        <v>2.0899999999999998E-3</v>
      </c>
      <c r="D16" s="2">
        <v>4.1799999999999997E-3</v>
      </c>
      <c r="E16" s="21">
        <v>6.2700000000000004E-3</v>
      </c>
    </row>
    <row r="17" spans="2:5" ht="15" thickBot="1" x14ac:dyDescent="0.25">
      <c r="B17" s="19">
        <v>1.5</v>
      </c>
      <c r="C17" s="2">
        <v>2.7599999999999999E-3</v>
      </c>
      <c r="D17" s="2">
        <v>5.5199999999999997E-3</v>
      </c>
      <c r="E17" s="21">
        <v>8.2799999999999992E-3</v>
      </c>
    </row>
    <row r="18" spans="2:5" ht="15" x14ac:dyDescent="0.2">
      <c r="B18" s="1"/>
    </row>
    <row r="19" spans="2:5" x14ac:dyDescent="0.2">
      <c r="B19" s="23" t="s">
        <v>161</v>
      </c>
    </row>
    <row r="20" spans="2:5" ht="18.75" customHeight="1" thickBot="1" x14ac:dyDescent="0.25">
      <c r="B20" s="475" t="s">
        <v>74</v>
      </c>
      <c r="C20" s="476" t="s">
        <v>68</v>
      </c>
      <c r="D20" s="477"/>
      <c r="E20" s="477"/>
    </row>
    <row r="21" spans="2:5" ht="15" thickBot="1" x14ac:dyDescent="0.25">
      <c r="B21" s="464"/>
      <c r="C21" s="116" t="s">
        <v>78</v>
      </c>
      <c r="D21" s="116" t="s">
        <v>79</v>
      </c>
      <c r="E21" s="22" t="s">
        <v>80</v>
      </c>
    </row>
    <row r="22" spans="2:5" ht="15" thickBot="1" x14ac:dyDescent="0.25">
      <c r="B22" s="2">
        <v>0.4</v>
      </c>
      <c r="C22" s="2">
        <v>2.8300000000000001E-3</v>
      </c>
      <c r="D22" s="2" t="s">
        <v>0</v>
      </c>
      <c r="E22" s="21" t="s">
        <v>0</v>
      </c>
    </row>
    <row r="23" spans="2:5" ht="15" thickBot="1" x14ac:dyDescent="0.25">
      <c r="B23" s="2">
        <v>0.6</v>
      </c>
      <c r="C23" s="2">
        <v>5.1900000000000002E-3</v>
      </c>
      <c r="D23" s="2" t="s">
        <v>0</v>
      </c>
      <c r="E23" s="21" t="s">
        <v>0</v>
      </c>
    </row>
    <row r="24" spans="2:5" ht="15" thickBot="1" x14ac:dyDescent="0.25">
      <c r="B24" s="2">
        <v>0.8</v>
      </c>
      <c r="C24" s="2">
        <v>8.3400000000000002E-3</v>
      </c>
      <c r="D24" s="2">
        <v>9.6600000000000002E-3</v>
      </c>
      <c r="E24" s="21" t="s">
        <v>0</v>
      </c>
    </row>
    <row r="25" spans="2:5" ht="15" thickBot="1" x14ac:dyDescent="0.25">
      <c r="B25" s="19">
        <v>1</v>
      </c>
      <c r="C25" s="2">
        <v>1.1860000000000001E-2</v>
      </c>
      <c r="D25" s="2">
        <v>1.374E-2</v>
      </c>
      <c r="E25" s="21">
        <v>1.6150000000000001E-2</v>
      </c>
    </row>
    <row r="26" spans="2:5" ht="15" thickBot="1" x14ac:dyDescent="0.25">
      <c r="B26" s="19">
        <v>1.2</v>
      </c>
      <c r="C26" s="2">
        <v>1.5650000000000001E-2</v>
      </c>
      <c r="D26" s="2">
        <v>1.8120000000000001E-2</v>
      </c>
      <c r="E26" s="21">
        <v>2.1229999999999999E-2</v>
      </c>
    </row>
    <row r="27" spans="2:5" ht="15" thickBot="1" x14ac:dyDescent="0.25">
      <c r="B27" s="19">
        <v>1.5</v>
      </c>
      <c r="C27" s="2">
        <v>2.5600000000000001E-2</v>
      </c>
      <c r="D27" s="2">
        <v>2.9420000000000002E-2</v>
      </c>
      <c r="E27" s="21">
        <v>3.3869999999999997E-2</v>
      </c>
    </row>
    <row r="29" spans="2:5" x14ac:dyDescent="0.2">
      <c r="B29" s="23" t="s">
        <v>162</v>
      </c>
    </row>
    <row r="30" spans="2:5" ht="18.75" customHeight="1" thickBot="1" x14ac:dyDescent="0.25">
      <c r="B30" s="475" t="s">
        <v>81</v>
      </c>
      <c r="C30" s="476" t="s">
        <v>68</v>
      </c>
      <c r="D30" s="477"/>
      <c r="E30" s="477"/>
    </row>
    <row r="31" spans="2:5" ht="15" thickBot="1" x14ac:dyDescent="0.25">
      <c r="B31" s="464"/>
      <c r="C31" s="116" t="s">
        <v>82</v>
      </c>
      <c r="D31" s="116" t="s">
        <v>83</v>
      </c>
      <c r="E31" s="22" t="s">
        <v>84</v>
      </c>
    </row>
    <row r="32" spans="2:5" ht="15" thickBot="1" x14ac:dyDescent="0.25">
      <c r="B32" s="2" t="s">
        <v>85</v>
      </c>
      <c r="C32" s="2">
        <v>9.7199999999999995E-3</v>
      </c>
      <c r="D32" s="2">
        <v>1.6E-2</v>
      </c>
      <c r="E32" s="21">
        <v>2.2030000000000001E-2</v>
      </c>
    </row>
    <row r="33" spans="2:5" ht="15" thickBot="1" x14ac:dyDescent="0.25">
      <c r="B33" s="2" t="s">
        <v>86</v>
      </c>
      <c r="C33" s="2">
        <v>1.4109999999999999E-2</v>
      </c>
      <c r="D33" s="2">
        <v>2.4209999999999999E-2</v>
      </c>
      <c r="E33" s="21">
        <v>3.286E-2</v>
      </c>
    </row>
    <row r="34" spans="2:5" ht="15" thickBot="1" x14ac:dyDescent="0.25">
      <c r="B34" s="2" t="s">
        <v>87</v>
      </c>
      <c r="C34" s="2">
        <v>1.8919999999999999E-2</v>
      </c>
      <c r="D34" s="2">
        <v>3.0210000000000001E-2</v>
      </c>
      <c r="E34" s="21">
        <v>4.4810000000000003E-2</v>
      </c>
    </row>
    <row r="35" spans="2:5" ht="15" thickBot="1" x14ac:dyDescent="0.25">
      <c r="B35" s="2" t="s">
        <v>88</v>
      </c>
      <c r="C35" s="2">
        <v>2.3439999999999999E-2</v>
      </c>
      <c r="D35" s="2">
        <v>3.9309999999999998E-2</v>
      </c>
      <c r="E35" s="21">
        <v>5.2920000000000002E-2</v>
      </c>
    </row>
    <row r="37" spans="2:5" x14ac:dyDescent="0.2">
      <c r="B37" s="23" t="s">
        <v>163</v>
      </c>
    </row>
    <row r="38" spans="2:5" ht="18.75" customHeight="1" thickBot="1" x14ac:dyDescent="0.25">
      <c r="B38" s="475" t="s">
        <v>81</v>
      </c>
      <c r="C38" s="476" t="s">
        <v>68</v>
      </c>
      <c r="D38" s="477"/>
      <c r="E38" s="477"/>
    </row>
    <row r="39" spans="2:5" ht="15" thickBot="1" x14ac:dyDescent="0.25">
      <c r="B39" s="464"/>
      <c r="C39" s="116" t="s">
        <v>82</v>
      </c>
      <c r="D39" s="116" t="s">
        <v>83</v>
      </c>
      <c r="E39" s="22" t="s">
        <v>84</v>
      </c>
    </row>
    <row r="40" spans="2:5" ht="15" thickBot="1" x14ac:dyDescent="0.25">
      <c r="B40" s="2" t="s">
        <v>85</v>
      </c>
      <c r="C40" s="2">
        <v>5.1000000000000004E-4</v>
      </c>
      <c r="D40" s="2">
        <v>9.2000000000000003E-4</v>
      </c>
      <c r="E40" s="21">
        <v>1.2999999999999999E-3</v>
      </c>
    </row>
    <row r="41" spans="2:5" ht="15" thickBot="1" x14ac:dyDescent="0.25">
      <c r="B41" s="2" t="s">
        <v>86</v>
      </c>
      <c r="C41" s="2">
        <v>6.3000000000000003E-4</v>
      </c>
      <c r="D41" s="2">
        <v>1.16E-3</v>
      </c>
      <c r="E41" s="21">
        <v>1.67E-3</v>
      </c>
    </row>
    <row r="42" spans="2:5" ht="15" thickBot="1" x14ac:dyDescent="0.25">
      <c r="B42" s="2" t="s">
        <v>87</v>
      </c>
      <c r="C42" s="2">
        <v>7.6999999999999996E-4</v>
      </c>
      <c r="D42" s="2">
        <v>1.4E-3</v>
      </c>
      <c r="E42" s="21">
        <v>2.0300000000000001E-3</v>
      </c>
    </row>
    <row r="43" spans="2:5" ht="15" thickBot="1" x14ac:dyDescent="0.25">
      <c r="B43" s="2" t="s">
        <v>88</v>
      </c>
      <c r="C43" s="2">
        <v>9.2000000000000003E-4</v>
      </c>
      <c r="D43" s="2">
        <v>1.67E-3</v>
      </c>
      <c r="E43" s="21">
        <v>2.4399999999999999E-3</v>
      </c>
    </row>
    <row r="44" spans="2:5" ht="15" x14ac:dyDescent="0.2">
      <c r="B44" s="1"/>
    </row>
    <row r="46" spans="2:5" x14ac:dyDescent="0.2">
      <c r="B46" s="23" t="s">
        <v>164</v>
      </c>
    </row>
    <row r="47" spans="2:5" ht="18.75" customHeight="1" thickBot="1" x14ac:dyDescent="0.25">
      <c r="B47" s="475" t="s">
        <v>81</v>
      </c>
      <c r="C47" s="476" t="s">
        <v>68</v>
      </c>
      <c r="D47" s="477"/>
      <c r="E47" s="477"/>
    </row>
    <row r="48" spans="2:5" ht="15" thickBot="1" x14ac:dyDescent="0.25">
      <c r="B48" s="464"/>
      <c r="C48" s="116" t="s">
        <v>89</v>
      </c>
      <c r="D48" s="116" t="s">
        <v>90</v>
      </c>
      <c r="E48" s="22" t="s">
        <v>91</v>
      </c>
    </row>
    <row r="49" spans="2:5" ht="15" thickBot="1" x14ac:dyDescent="0.25">
      <c r="B49" s="2" t="s">
        <v>85</v>
      </c>
      <c r="C49" s="2">
        <v>4.7620000000000003E-2</v>
      </c>
      <c r="D49" s="2">
        <v>5.953E-2</v>
      </c>
      <c r="E49" s="21">
        <v>7.4340000000000003E-2</v>
      </c>
    </row>
    <row r="50" spans="2:5" ht="15" thickBot="1" x14ac:dyDescent="0.25">
      <c r="B50" s="2" t="s">
        <v>86</v>
      </c>
      <c r="C50" s="2">
        <v>7.8149999999999997E-2</v>
      </c>
      <c r="D50" s="2">
        <v>9.289E-2</v>
      </c>
      <c r="E50" s="21">
        <v>0.11354</v>
      </c>
    </row>
    <row r="51" spans="2:5" ht="15" thickBot="1" x14ac:dyDescent="0.25">
      <c r="B51" s="2" t="s">
        <v>87</v>
      </c>
      <c r="C51" s="2">
        <v>0.10621999999999999</v>
      </c>
      <c r="D51" s="2">
        <v>0.12998999999999999</v>
      </c>
      <c r="E51" s="21">
        <v>0.16402</v>
      </c>
    </row>
    <row r="52" spans="2:5" ht="15" thickBot="1" x14ac:dyDescent="0.25">
      <c r="B52" s="2" t="s">
        <v>88</v>
      </c>
      <c r="C52" s="2">
        <v>0.15417</v>
      </c>
      <c r="D52" s="2">
        <v>0.19263</v>
      </c>
      <c r="E52" s="21">
        <v>0.23477999999999999</v>
      </c>
    </row>
    <row r="53" spans="2:5" ht="15" thickBot="1" x14ac:dyDescent="0.25"/>
    <row r="54" spans="2:5" x14ac:dyDescent="0.2">
      <c r="B54" s="280" t="s">
        <v>167</v>
      </c>
      <c r="C54" s="281"/>
      <c r="D54" s="281"/>
      <c r="E54" s="282"/>
    </row>
    <row r="55" spans="2:5" ht="18.75" customHeight="1" thickBot="1" x14ac:dyDescent="0.25">
      <c r="B55" s="478" t="s">
        <v>74</v>
      </c>
      <c r="C55" s="476" t="s">
        <v>93</v>
      </c>
      <c r="D55" s="477"/>
      <c r="E55" s="480"/>
    </row>
    <row r="56" spans="2:5" ht="15" thickBot="1" x14ac:dyDescent="0.25">
      <c r="B56" s="479"/>
      <c r="C56" s="116" t="s">
        <v>75</v>
      </c>
      <c r="D56" s="116" t="s">
        <v>76</v>
      </c>
      <c r="E56" s="116" t="s">
        <v>77</v>
      </c>
    </row>
    <row r="57" spans="2:5" ht="15" thickBot="1" x14ac:dyDescent="0.25">
      <c r="B57" s="6">
        <v>0.4</v>
      </c>
      <c r="C57" s="2">
        <v>6.0000000000000002E-5</v>
      </c>
      <c r="D57" s="2">
        <v>1.2E-4</v>
      </c>
      <c r="E57" s="2">
        <v>1.8000000000000001E-4</v>
      </c>
    </row>
    <row r="58" spans="2:5" ht="15" thickBot="1" x14ac:dyDescent="0.25">
      <c r="B58" s="6">
        <v>0.6</v>
      </c>
      <c r="C58" s="2">
        <v>9.0000000000000006E-5</v>
      </c>
      <c r="D58" s="2">
        <v>1.8000000000000001E-4</v>
      </c>
      <c r="E58" s="2">
        <v>2.7E-4</v>
      </c>
    </row>
    <row r="59" spans="2:5" ht="15" thickBot="1" x14ac:dyDescent="0.25">
      <c r="B59" s="6">
        <v>0.8</v>
      </c>
      <c r="C59" s="2">
        <v>1.4999999999999999E-4</v>
      </c>
      <c r="D59" s="2">
        <v>2.9999999999999997E-4</v>
      </c>
      <c r="E59" s="2">
        <v>4.4999999999999999E-4</v>
      </c>
    </row>
    <row r="60" spans="2:5" ht="15" thickBot="1" x14ac:dyDescent="0.25">
      <c r="B60" s="213">
        <v>1</v>
      </c>
      <c r="C60" s="2">
        <v>2.1000000000000001E-4</v>
      </c>
      <c r="D60" s="2">
        <v>4.2000000000000002E-4</v>
      </c>
      <c r="E60" s="2">
        <v>6.3000000000000003E-4</v>
      </c>
    </row>
    <row r="61" spans="2:5" ht="15" thickBot="1" x14ac:dyDescent="0.25">
      <c r="B61" s="213">
        <v>1.2</v>
      </c>
      <c r="C61" s="2">
        <v>2.9999999999999997E-4</v>
      </c>
      <c r="D61" s="2">
        <v>5.9999999999999995E-4</v>
      </c>
      <c r="E61" s="2">
        <v>8.9999999999999998E-4</v>
      </c>
    </row>
    <row r="62" spans="2:5" ht="15" thickBot="1" x14ac:dyDescent="0.25">
      <c r="B62" s="213">
        <v>1.5</v>
      </c>
      <c r="C62" s="2">
        <v>4.8000000000000001E-4</v>
      </c>
      <c r="D62" s="2">
        <v>9.6000000000000002E-4</v>
      </c>
      <c r="E62" s="2">
        <v>1.4400000000000001E-3</v>
      </c>
    </row>
    <row r="63" spans="2:5" x14ac:dyDescent="0.2">
      <c r="B63" s="283"/>
      <c r="E63" s="284"/>
    </row>
    <row r="64" spans="2:5" x14ac:dyDescent="0.2">
      <c r="B64" s="285" t="s">
        <v>168</v>
      </c>
      <c r="E64" s="284"/>
    </row>
    <row r="65" spans="2:5" ht="18.75" customHeight="1" thickBot="1" x14ac:dyDescent="0.25">
      <c r="B65" s="478" t="s">
        <v>74</v>
      </c>
      <c r="C65" s="476" t="s">
        <v>93</v>
      </c>
      <c r="D65" s="477"/>
      <c r="E65" s="480"/>
    </row>
    <row r="66" spans="2:5" ht="15" thickBot="1" x14ac:dyDescent="0.25">
      <c r="B66" s="479"/>
      <c r="C66" s="116" t="s">
        <v>78</v>
      </c>
      <c r="D66" s="116" t="s">
        <v>79</v>
      </c>
      <c r="E66" s="116" t="s">
        <v>80</v>
      </c>
    </row>
    <row r="67" spans="2:5" ht="15" thickBot="1" x14ac:dyDescent="0.25">
      <c r="B67" s="6">
        <v>0.4</v>
      </c>
      <c r="C67" s="2">
        <v>2.7999999999999998E-4</v>
      </c>
      <c r="D67" s="2" t="s">
        <v>0</v>
      </c>
      <c r="E67" s="2" t="s">
        <v>0</v>
      </c>
    </row>
    <row r="68" spans="2:5" ht="15" thickBot="1" x14ac:dyDescent="0.25">
      <c r="B68" s="6">
        <v>0.6</v>
      </c>
      <c r="C68" s="2">
        <v>6.3000000000000003E-4</v>
      </c>
      <c r="D68" s="2" t="s">
        <v>0</v>
      </c>
      <c r="E68" s="2" t="s">
        <v>0</v>
      </c>
    </row>
    <row r="69" spans="2:5" ht="15" thickBot="1" x14ac:dyDescent="0.25">
      <c r="B69" s="6">
        <v>0.8</v>
      </c>
      <c r="C69" s="2">
        <v>1.09E-3</v>
      </c>
      <c r="D69" s="2">
        <v>1.33E-3</v>
      </c>
      <c r="E69" s="2" t="s">
        <v>0</v>
      </c>
    </row>
    <row r="70" spans="2:5" ht="15" thickBot="1" x14ac:dyDescent="0.25">
      <c r="B70" s="213">
        <v>1</v>
      </c>
      <c r="C70" s="2">
        <v>1.6999999999999999E-3</v>
      </c>
      <c r="D70" s="2">
        <v>2.0799999999999998E-3</v>
      </c>
      <c r="E70" s="2">
        <v>2.63E-3</v>
      </c>
    </row>
    <row r="71" spans="2:5" ht="15" thickBot="1" x14ac:dyDescent="0.25">
      <c r="B71" s="213">
        <v>1.2</v>
      </c>
      <c r="C71" s="2">
        <v>2.4599999999999999E-3</v>
      </c>
      <c r="D71" s="2">
        <v>3.0100000000000001E-3</v>
      </c>
      <c r="E71" s="2">
        <v>3.7799999999999999E-3</v>
      </c>
    </row>
    <row r="72" spans="2:5" ht="15" thickBot="1" x14ac:dyDescent="0.25">
      <c r="B72" s="213">
        <v>1.5</v>
      </c>
      <c r="C72" s="2">
        <v>4.3400000000000001E-3</v>
      </c>
      <c r="D72" s="2">
        <v>5.3200000000000001E-3</v>
      </c>
      <c r="E72" s="2">
        <v>6.5900000000000004E-3</v>
      </c>
    </row>
    <row r="73" spans="2:5" x14ac:dyDescent="0.2">
      <c r="B73" s="283"/>
      <c r="E73" s="284"/>
    </row>
    <row r="74" spans="2:5" x14ac:dyDescent="0.2">
      <c r="B74" s="285" t="s">
        <v>169</v>
      </c>
      <c r="E74" s="284"/>
    </row>
    <row r="75" spans="2:5" ht="18.75" customHeight="1" thickBot="1" x14ac:dyDescent="0.25">
      <c r="B75" s="478" t="s">
        <v>81</v>
      </c>
      <c r="C75" s="476" t="s">
        <v>93</v>
      </c>
      <c r="D75" s="477"/>
      <c r="E75" s="480"/>
    </row>
    <row r="76" spans="2:5" ht="15" thickBot="1" x14ac:dyDescent="0.25">
      <c r="B76" s="479"/>
      <c r="C76" s="116" t="s">
        <v>82</v>
      </c>
      <c r="D76" s="116" t="s">
        <v>83</v>
      </c>
      <c r="E76" s="116" t="s">
        <v>84</v>
      </c>
    </row>
    <row r="77" spans="2:5" ht="15" thickBot="1" x14ac:dyDescent="0.25">
      <c r="B77" s="6" t="s">
        <v>85</v>
      </c>
      <c r="C77" s="2">
        <v>6.7000000000000002E-4</v>
      </c>
      <c r="D77" s="2">
        <v>1.1900000000000001E-3</v>
      </c>
      <c r="E77" s="2">
        <v>1.7099999999999999E-3</v>
      </c>
    </row>
    <row r="78" spans="2:5" ht="15" thickBot="1" x14ac:dyDescent="0.25">
      <c r="B78" s="6" t="s">
        <v>86</v>
      </c>
      <c r="C78" s="2">
        <v>8.7000000000000001E-4</v>
      </c>
      <c r="D78" s="2">
        <v>1.5499999999999999E-3</v>
      </c>
      <c r="E78" s="2">
        <v>2.2100000000000002E-3</v>
      </c>
    </row>
    <row r="79" spans="2:5" ht="15" thickBot="1" x14ac:dyDescent="0.25">
      <c r="B79" s="6" t="s">
        <v>87</v>
      </c>
      <c r="C79" s="2">
        <v>1.47E-3</v>
      </c>
      <c r="D79" s="2">
        <v>1.9599999999999999E-3</v>
      </c>
      <c r="E79" s="2">
        <v>2.8300000000000001E-3</v>
      </c>
    </row>
    <row r="80" spans="2:5" ht="15" thickBot="1" x14ac:dyDescent="0.25">
      <c r="B80" s="6" t="s">
        <v>88</v>
      </c>
      <c r="C80" s="2">
        <v>2.2000000000000001E-3</v>
      </c>
      <c r="D80" s="2">
        <v>3.0799999999999998E-3</v>
      </c>
      <c r="E80" s="2">
        <v>4.4299999999999999E-3</v>
      </c>
    </row>
    <row r="81" spans="2:6" x14ac:dyDescent="0.2">
      <c r="B81" s="283"/>
      <c r="E81" s="284"/>
    </row>
    <row r="82" spans="2:6" x14ac:dyDescent="0.2">
      <c r="B82" s="285" t="s">
        <v>170</v>
      </c>
      <c r="E82" s="284"/>
    </row>
    <row r="83" spans="2:6" ht="18.75" customHeight="1" thickBot="1" x14ac:dyDescent="0.25">
      <c r="B83" s="478" t="s">
        <v>81</v>
      </c>
      <c r="C83" s="476" t="s">
        <v>93</v>
      </c>
      <c r="D83" s="477"/>
      <c r="E83" s="480"/>
    </row>
    <row r="84" spans="2:6" ht="15" thickBot="1" x14ac:dyDescent="0.25">
      <c r="B84" s="479"/>
      <c r="C84" s="116" t="s">
        <v>89</v>
      </c>
      <c r="D84" s="116" t="s">
        <v>90</v>
      </c>
      <c r="E84" s="116" t="s">
        <v>91</v>
      </c>
    </row>
    <row r="85" spans="2:6" ht="15" thickBot="1" x14ac:dyDescent="0.25">
      <c r="B85" s="6" t="s">
        <v>85</v>
      </c>
      <c r="C85" s="2">
        <v>3.0200000000000001E-3</v>
      </c>
      <c r="D85" s="2">
        <v>4.1200000000000004E-3</v>
      </c>
      <c r="E85" s="2">
        <v>5.47E-3</v>
      </c>
    </row>
    <row r="86" spans="2:6" ht="15" thickBot="1" x14ac:dyDescent="0.25">
      <c r="B86" s="6" t="s">
        <v>86</v>
      </c>
      <c r="C86" s="2">
        <v>5.9500000000000004E-3</v>
      </c>
      <c r="D86" s="2">
        <v>6.9499999999999996E-3</v>
      </c>
      <c r="E86" s="2">
        <v>8.7500000000000008E-3</v>
      </c>
    </row>
    <row r="87" spans="2:6" ht="15" thickBot="1" x14ac:dyDescent="0.25">
      <c r="B87" s="6" t="s">
        <v>87</v>
      </c>
      <c r="C87" s="2">
        <v>8.1200000000000005E-3</v>
      </c>
      <c r="D87" s="2">
        <v>1.0019999999999999E-2</v>
      </c>
      <c r="E87" s="2">
        <v>1.192E-2</v>
      </c>
    </row>
    <row r="88" spans="2:6" ht="15" thickBot="1" x14ac:dyDescent="0.25">
      <c r="B88" s="6" t="s">
        <v>88</v>
      </c>
      <c r="C88" s="2">
        <v>1.218E-2</v>
      </c>
      <c r="D88" s="2">
        <v>1.481E-2</v>
      </c>
      <c r="E88" s="2">
        <v>1.7479999999999999E-2</v>
      </c>
    </row>
    <row r="90" spans="2:6" ht="15" thickBot="1" x14ac:dyDescent="0.25">
      <c r="B90" s="285" t="s">
        <v>355</v>
      </c>
      <c r="E90" s="284"/>
    </row>
    <row r="91" spans="2:6" ht="15" thickBot="1" x14ac:dyDescent="0.25">
      <c r="B91" s="313" t="s">
        <v>172</v>
      </c>
      <c r="C91" s="314" t="s">
        <v>173</v>
      </c>
    </row>
    <row r="92" spans="2:6" ht="15" thickBot="1" x14ac:dyDescent="0.25">
      <c r="B92" s="315" t="s">
        <v>174</v>
      </c>
      <c r="C92" s="316">
        <v>5757.87</v>
      </c>
    </row>
    <row r="93" spans="2:6" ht="26.25" thickBot="1" x14ac:dyDescent="0.25">
      <c r="B93" s="315" t="s">
        <v>175</v>
      </c>
      <c r="C93" s="316">
        <v>1919.27</v>
      </c>
      <c r="D93" s="88"/>
    </row>
    <row r="94" spans="2:6" ht="26.25" thickBot="1" x14ac:dyDescent="0.25">
      <c r="B94" s="315" t="s">
        <v>176</v>
      </c>
      <c r="C94" s="316">
        <v>3838.6</v>
      </c>
    </row>
    <row r="95" spans="2:6" ht="15" thickBot="1" x14ac:dyDescent="0.25"/>
    <row r="96" spans="2:6" ht="15" thickBot="1" x14ac:dyDescent="0.25">
      <c r="B96" s="317" t="s">
        <v>368</v>
      </c>
      <c r="C96" s="318"/>
      <c r="D96" s="318"/>
      <c r="E96" s="318"/>
      <c r="F96" s="319"/>
    </row>
    <row r="97" spans="1:9" ht="15.75" customHeight="1" thickBot="1" x14ac:dyDescent="0.25">
      <c r="B97" s="478" t="s">
        <v>1</v>
      </c>
      <c r="C97" s="478" t="s">
        <v>367</v>
      </c>
      <c r="D97" s="478" t="s">
        <v>2</v>
      </c>
      <c r="E97" s="463" t="s">
        <v>365</v>
      </c>
      <c r="F97" s="464"/>
    </row>
    <row r="98" spans="1:9" ht="24.75" customHeight="1" thickBot="1" x14ac:dyDescent="0.25">
      <c r="B98" s="479"/>
      <c r="C98" s="479"/>
      <c r="D98" s="479"/>
      <c r="E98" s="314" t="s">
        <v>173</v>
      </c>
      <c r="F98" s="314" t="s">
        <v>366</v>
      </c>
      <c r="G98" s="465" t="s">
        <v>369</v>
      </c>
      <c r="H98" s="466"/>
      <c r="I98" s="466"/>
    </row>
    <row r="99" spans="1:9" ht="15" thickBot="1" x14ac:dyDescent="0.25">
      <c r="B99" s="315" t="s">
        <v>5</v>
      </c>
      <c r="C99" s="315" t="s">
        <v>12</v>
      </c>
      <c r="D99" s="315"/>
      <c r="E99" s="315"/>
      <c r="F99" s="315"/>
      <c r="G99" s="465"/>
      <c r="H99" s="466"/>
      <c r="I99" s="466"/>
    </row>
    <row r="100" spans="1:9" ht="15" thickBot="1" x14ac:dyDescent="0.25">
      <c r="B100" s="315" t="s">
        <v>183</v>
      </c>
      <c r="C100" s="315" t="s">
        <v>358</v>
      </c>
      <c r="D100" s="6" t="s">
        <v>48</v>
      </c>
      <c r="E100" s="6">
        <v>0.2</v>
      </c>
      <c r="F100" s="6">
        <f>E100*0.5</f>
        <v>0.1</v>
      </c>
      <c r="G100" s="465"/>
      <c r="H100" s="466"/>
      <c r="I100" s="466"/>
    </row>
    <row r="101" spans="1:9" ht="15" thickBot="1" x14ac:dyDescent="0.25">
      <c r="B101" s="315" t="s">
        <v>198</v>
      </c>
      <c r="C101" s="315" t="s">
        <v>359</v>
      </c>
      <c r="D101" s="6" t="s">
        <v>48</v>
      </c>
      <c r="E101" s="6">
        <v>0.2</v>
      </c>
      <c r="F101" s="6">
        <f t="shared" ref="F101:F106" si="0">E101*0.5</f>
        <v>0.1</v>
      </c>
      <c r="G101" s="465"/>
      <c r="H101" s="466"/>
      <c r="I101" s="466"/>
    </row>
    <row r="102" spans="1:9" ht="15" thickBot="1" x14ac:dyDescent="0.25">
      <c r="B102" s="315" t="s">
        <v>356</v>
      </c>
      <c r="C102" s="315" t="s">
        <v>360</v>
      </c>
      <c r="D102" s="6" t="s">
        <v>48</v>
      </c>
      <c r="E102" s="6">
        <v>0.2</v>
      </c>
      <c r="F102" s="6">
        <f t="shared" si="0"/>
        <v>0.1</v>
      </c>
      <c r="G102" s="465"/>
      <c r="H102" s="466"/>
      <c r="I102" s="466"/>
    </row>
    <row r="103" spans="1:9" ht="15" thickBot="1" x14ac:dyDescent="0.25">
      <c r="B103" s="315" t="s">
        <v>6</v>
      </c>
      <c r="C103" s="315" t="s">
        <v>228</v>
      </c>
      <c r="D103" s="6"/>
      <c r="E103" s="6"/>
      <c r="F103" s="6"/>
      <c r="G103" s="465"/>
      <c r="H103" s="466"/>
      <c r="I103" s="466"/>
    </row>
    <row r="104" spans="1:9" ht="15" thickBot="1" x14ac:dyDescent="0.25">
      <c r="B104" s="315" t="s">
        <v>206</v>
      </c>
      <c r="C104" s="315" t="s">
        <v>361</v>
      </c>
      <c r="D104" s="6" t="s">
        <v>364</v>
      </c>
      <c r="E104" s="6">
        <v>11</v>
      </c>
      <c r="F104" s="6">
        <f t="shared" si="0"/>
        <v>5.5</v>
      </c>
      <c r="G104" s="465"/>
      <c r="H104" s="466"/>
      <c r="I104" s="466"/>
    </row>
    <row r="105" spans="1:9" ht="15" thickBot="1" x14ac:dyDescent="0.25">
      <c r="B105" s="315" t="s">
        <v>215</v>
      </c>
      <c r="C105" s="315" t="s">
        <v>362</v>
      </c>
      <c r="D105" s="6" t="s">
        <v>364</v>
      </c>
      <c r="E105" s="6">
        <v>22</v>
      </c>
      <c r="F105" s="6">
        <f t="shared" si="0"/>
        <v>11</v>
      </c>
      <c r="G105" s="465"/>
      <c r="H105" s="466"/>
      <c r="I105" s="466"/>
    </row>
    <row r="106" spans="1:9" ht="15" thickBot="1" x14ac:dyDescent="0.25">
      <c r="B106" s="315" t="s">
        <v>357</v>
      </c>
      <c r="C106" s="315" t="s">
        <v>363</v>
      </c>
      <c r="D106" s="6" t="s">
        <v>364</v>
      </c>
      <c r="E106" s="6">
        <v>11</v>
      </c>
      <c r="F106" s="6">
        <f t="shared" si="0"/>
        <v>5.5</v>
      </c>
      <c r="G106" s="465"/>
      <c r="H106" s="466"/>
      <c r="I106" s="466"/>
    </row>
    <row r="108" spans="1:9" ht="15" thickBot="1" x14ac:dyDescent="0.25">
      <c r="B108" s="23" t="s">
        <v>219</v>
      </c>
    </row>
    <row r="109" spans="1:9" ht="25.5" customHeight="1" thickBot="1" x14ac:dyDescent="0.25">
      <c r="A109" s="454" t="s">
        <v>1</v>
      </c>
      <c r="B109" s="454" t="s">
        <v>370</v>
      </c>
      <c r="C109" s="454" t="s">
        <v>178</v>
      </c>
      <c r="D109" s="460" t="s">
        <v>2</v>
      </c>
      <c r="E109" s="467" t="s">
        <v>179</v>
      </c>
      <c r="F109" s="468"/>
      <c r="G109" s="469"/>
      <c r="H109" s="470" t="s">
        <v>180</v>
      </c>
      <c r="I109" s="454" t="s">
        <v>276</v>
      </c>
    </row>
    <row r="110" spans="1:9" ht="24.75" thickBot="1" x14ac:dyDescent="0.25">
      <c r="A110" s="455"/>
      <c r="B110" s="455"/>
      <c r="C110" s="455"/>
      <c r="D110" s="461"/>
      <c r="E110" s="194" t="s">
        <v>103</v>
      </c>
      <c r="F110" s="194" t="s">
        <v>104</v>
      </c>
      <c r="G110" s="194" t="s">
        <v>105</v>
      </c>
      <c r="H110" s="471"/>
      <c r="I110" s="456"/>
    </row>
    <row r="111" spans="1:9" ht="15.75" customHeight="1" thickBot="1" x14ac:dyDescent="0.25">
      <c r="A111" s="456"/>
      <c r="B111" s="456"/>
      <c r="C111" s="456"/>
      <c r="D111" s="462"/>
      <c r="E111" s="472" t="s">
        <v>181</v>
      </c>
      <c r="F111" s="473"/>
      <c r="G111" s="473"/>
      <c r="H111" s="473"/>
      <c r="I111" s="474"/>
    </row>
    <row r="112" spans="1:9" ht="15.75" customHeight="1" thickBot="1" x14ac:dyDescent="0.25">
      <c r="A112" s="320" t="s">
        <v>182</v>
      </c>
      <c r="B112" s="38"/>
      <c r="C112" s="36" t="s">
        <v>13</v>
      </c>
      <c r="D112" s="37"/>
      <c r="E112" s="37"/>
      <c r="F112" s="37"/>
      <c r="G112" s="37"/>
      <c r="H112" s="37"/>
      <c r="I112" s="321"/>
    </row>
    <row r="113" spans="1:9" ht="15" thickBot="1" x14ac:dyDescent="0.25">
      <c r="A113" s="307" t="s">
        <v>183</v>
      </c>
      <c r="B113" s="39"/>
      <c r="C113" s="34" t="s">
        <v>15</v>
      </c>
      <c r="D113" s="35"/>
      <c r="E113" s="35"/>
      <c r="F113" s="35"/>
      <c r="G113" s="35"/>
      <c r="H113" s="35"/>
      <c r="I113" s="322"/>
    </row>
    <row r="114" spans="1:9" ht="15" thickBot="1" x14ac:dyDescent="0.25">
      <c r="A114" s="307" t="s">
        <v>184</v>
      </c>
      <c r="B114" s="39"/>
      <c r="C114" s="34" t="s">
        <v>12</v>
      </c>
      <c r="D114" s="35"/>
      <c r="E114" s="35"/>
      <c r="F114" s="35"/>
      <c r="G114" s="35"/>
      <c r="H114" s="35"/>
      <c r="I114" s="322"/>
    </row>
    <row r="115" spans="1:9" ht="15" thickBot="1" x14ac:dyDescent="0.25">
      <c r="A115" s="323" t="s">
        <v>185</v>
      </c>
      <c r="B115" s="28" t="s">
        <v>249</v>
      </c>
      <c r="C115" s="28" t="s">
        <v>240</v>
      </c>
      <c r="D115" s="29"/>
      <c r="E115" s="29"/>
      <c r="F115" s="29">
        <v>1</v>
      </c>
      <c r="G115" s="29">
        <v>1</v>
      </c>
      <c r="H115" s="29"/>
      <c r="I115" s="29"/>
    </row>
    <row r="116" spans="1:9" ht="15" thickBot="1" x14ac:dyDescent="0.25">
      <c r="A116" s="323" t="s">
        <v>186</v>
      </c>
      <c r="B116" s="28" t="s">
        <v>144</v>
      </c>
      <c r="C116" s="28" t="s">
        <v>152</v>
      </c>
      <c r="D116" s="29" t="s">
        <v>48</v>
      </c>
      <c r="E116" s="29">
        <v>1</v>
      </c>
      <c r="F116" s="29"/>
      <c r="G116" s="29"/>
      <c r="H116" s="29">
        <v>1</v>
      </c>
      <c r="I116" s="324">
        <v>0.25</v>
      </c>
    </row>
    <row r="117" spans="1:9" ht="15" thickBot="1" x14ac:dyDescent="0.25">
      <c r="A117" s="323" t="s">
        <v>187</v>
      </c>
      <c r="B117" s="28" t="s">
        <v>149</v>
      </c>
      <c r="C117" s="28" t="s">
        <v>153</v>
      </c>
      <c r="D117" s="29" t="s">
        <v>48</v>
      </c>
      <c r="E117" s="29">
        <v>1</v>
      </c>
      <c r="F117" s="29">
        <v>1</v>
      </c>
      <c r="G117" s="29">
        <v>1</v>
      </c>
      <c r="H117" s="29"/>
      <c r="I117" s="324"/>
    </row>
    <row r="118" spans="1:9" ht="15" thickBot="1" x14ac:dyDescent="0.25">
      <c r="A118" s="323" t="s">
        <v>189</v>
      </c>
      <c r="B118" s="28" t="s">
        <v>148</v>
      </c>
      <c r="C118" s="28" t="s">
        <v>188</v>
      </c>
      <c r="D118" s="29" t="s">
        <v>48</v>
      </c>
      <c r="E118" s="29">
        <v>1</v>
      </c>
      <c r="F118" s="29">
        <v>1</v>
      </c>
      <c r="G118" s="29">
        <v>1</v>
      </c>
      <c r="H118" s="29"/>
      <c r="I118" s="324"/>
    </row>
    <row r="119" spans="1:9" ht="15" thickBot="1" x14ac:dyDescent="0.25">
      <c r="A119" s="323" t="s">
        <v>190</v>
      </c>
      <c r="B119" s="28" t="s">
        <v>256</v>
      </c>
      <c r="C119" s="28" t="s">
        <v>16</v>
      </c>
      <c r="D119" s="29" t="s">
        <v>48</v>
      </c>
      <c r="E119" s="29">
        <v>1</v>
      </c>
      <c r="F119" s="29">
        <v>1</v>
      </c>
      <c r="G119" s="29">
        <v>1</v>
      </c>
      <c r="H119" s="29"/>
      <c r="I119" s="324"/>
    </row>
    <row r="120" spans="1:9" ht="15" thickBot="1" x14ac:dyDescent="0.25">
      <c r="A120" s="323" t="s">
        <v>241</v>
      </c>
      <c r="B120" s="28" t="s">
        <v>147</v>
      </c>
      <c r="C120" s="28" t="s">
        <v>17</v>
      </c>
      <c r="D120" s="29" t="s">
        <v>48</v>
      </c>
      <c r="E120" s="29">
        <v>1</v>
      </c>
      <c r="F120" s="29">
        <v>1</v>
      </c>
      <c r="G120" s="29">
        <v>1</v>
      </c>
      <c r="H120" s="29">
        <v>1</v>
      </c>
      <c r="I120" s="324">
        <v>0</v>
      </c>
    </row>
    <row r="121" spans="1:9" ht="15" thickBot="1" x14ac:dyDescent="0.25">
      <c r="A121" s="307" t="s">
        <v>191</v>
      </c>
      <c r="B121" s="39"/>
      <c r="C121" s="34" t="s">
        <v>27</v>
      </c>
      <c r="D121" s="35"/>
      <c r="E121" s="35"/>
      <c r="F121" s="35"/>
      <c r="G121" s="35"/>
      <c r="H121" s="35"/>
      <c r="I121" s="325"/>
    </row>
    <row r="122" spans="1:9" ht="15" thickBot="1" x14ac:dyDescent="0.25">
      <c r="A122" s="307" t="s">
        <v>192</v>
      </c>
      <c r="B122" s="25" t="s">
        <v>258</v>
      </c>
      <c r="C122" s="25" t="s">
        <v>232</v>
      </c>
      <c r="D122" s="26" t="s">
        <v>194</v>
      </c>
      <c r="E122" s="26">
        <v>2</v>
      </c>
      <c r="F122" s="29">
        <v>2</v>
      </c>
      <c r="G122" s="29">
        <v>2</v>
      </c>
      <c r="H122" s="29">
        <v>1</v>
      </c>
      <c r="I122" s="324">
        <v>0.25</v>
      </c>
    </row>
    <row r="123" spans="1:9" ht="15" thickBot="1" x14ac:dyDescent="0.25">
      <c r="A123" s="323" t="s">
        <v>195</v>
      </c>
      <c r="B123" s="28" t="s">
        <v>233</v>
      </c>
      <c r="C123" s="28" t="s">
        <v>196</v>
      </c>
      <c r="D123" s="29" t="s">
        <v>194</v>
      </c>
      <c r="E123" s="29">
        <v>1</v>
      </c>
      <c r="F123" s="29">
        <v>2</v>
      </c>
      <c r="G123" s="29">
        <v>3</v>
      </c>
      <c r="H123" s="29"/>
      <c r="I123" s="324"/>
    </row>
    <row r="124" spans="1:9" ht="15" thickBot="1" x14ac:dyDescent="0.25">
      <c r="A124" s="323" t="s">
        <v>197</v>
      </c>
      <c r="B124" s="50" t="s">
        <v>274</v>
      </c>
      <c r="C124" s="28" t="s">
        <v>275</v>
      </c>
      <c r="D124" s="29" t="s">
        <v>194</v>
      </c>
      <c r="E124" s="29"/>
      <c r="F124" s="29"/>
      <c r="G124" s="29"/>
      <c r="H124" s="29">
        <v>1</v>
      </c>
      <c r="I124" s="324">
        <v>1</v>
      </c>
    </row>
    <row r="125" spans="1:9" ht="15" thickBot="1" x14ac:dyDescent="0.25">
      <c r="A125" s="323" t="s">
        <v>195</v>
      </c>
      <c r="B125" s="25" t="s">
        <v>255</v>
      </c>
      <c r="C125" s="25" t="s">
        <v>246</v>
      </c>
      <c r="D125" s="26" t="s">
        <v>194</v>
      </c>
      <c r="E125" s="29"/>
      <c r="F125" s="29"/>
      <c r="G125" s="29"/>
      <c r="H125" s="29"/>
      <c r="I125" s="324"/>
    </row>
    <row r="126" spans="1:9" ht="15" thickBot="1" x14ac:dyDescent="0.25">
      <c r="A126" s="307" t="s">
        <v>198</v>
      </c>
      <c r="B126" s="39"/>
      <c r="C126" s="34" t="s">
        <v>18</v>
      </c>
      <c r="D126" s="35"/>
      <c r="E126" s="35"/>
      <c r="F126" s="35"/>
      <c r="G126" s="35"/>
      <c r="H126" s="35"/>
      <c r="I126" s="322"/>
    </row>
    <row r="127" spans="1:9" ht="15" thickBot="1" x14ac:dyDescent="0.25">
      <c r="A127" s="307" t="s">
        <v>199</v>
      </c>
      <c r="B127" s="39"/>
      <c r="C127" s="34" t="s">
        <v>12</v>
      </c>
      <c r="D127" s="35"/>
      <c r="E127" s="35"/>
      <c r="F127" s="35"/>
      <c r="G127" s="35"/>
      <c r="H127" s="35"/>
      <c r="I127" s="322"/>
    </row>
    <row r="128" spans="1:9" ht="15" thickBot="1" x14ac:dyDescent="0.25">
      <c r="A128" s="307" t="s">
        <v>200</v>
      </c>
      <c r="B128" s="25" t="s">
        <v>250</v>
      </c>
      <c r="C128" s="25" t="s">
        <v>201</v>
      </c>
      <c r="D128" s="26" t="s">
        <v>48</v>
      </c>
      <c r="E128" s="26"/>
      <c r="F128" s="26">
        <v>1</v>
      </c>
      <c r="G128" s="29">
        <v>2</v>
      </c>
      <c r="H128" s="29"/>
      <c r="I128" s="26"/>
    </row>
    <row r="129" spans="1:9" ht="15" thickBot="1" x14ac:dyDescent="0.25">
      <c r="A129" s="307" t="s">
        <v>202</v>
      </c>
      <c r="B129" s="25" t="s">
        <v>140</v>
      </c>
      <c r="C129" s="25" t="s">
        <v>19</v>
      </c>
      <c r="D129" s="26" t="s">
        <v>48</v>
      </c>
      <c r="E129" s="26">
        <v>2</v>
      </c>
      <c r="F129" s="26">
        <v>3</v>
      </c>
      <c r="G129" s="29">
        <v>4</v>
      </c>
      <c r="H129" s="29"/>
      <c r="I129" s="324"/>
    </row>
    <row r="130" spans="1:9" ht="15" thickBot="1" x14ac:dyDescent="0.25">
      <c r="A130" s="307" t="s">
        <v>203</v>
      </c>
      <c r="B130" s="39"/>
      <c r="C130" s="34" t="s">
        <v>27</v>
      </c>
      <c r="D130" s="35"/>
      <c r="E130" s="35"/>
      <c r="F130" s="35"/>
      <c r="G130" s="35"/>
      <c r="H130" s="35"/>
      <c r="I130" s="322"/>
    </row>
    <row r="131" spans="1:9" ht="15.75" customHeight="1" thickBot="1" x14ac:dyDescent="0.25">
      <c r="A131" s="307" t="s">
        <v>204</v>
      </c>
      <c r="B131" s="25" t="s">
        <v>258</v>
      </c>
      <c r="C131" s="25" t="s">
        <v>232</v>
      </c>
      <c r="D131" s="26" t="s">
        <v>194</v>
      </c>
      <c r="E131" s="26"/>
      <c r="F131" s="26">
        <v>1</v>
      </c>
      <c r="G131" s="26">
        <v>2</v>
      </c>
      <c r="H131" s="26"/>
      <c r="I131" s="26"/>
    </row>
    <row r="132" spans="1:9" ht="15" thickBot="1" x14ac:dyDescent="0.25">
      <c r="A132" s="320" t="s">
        <v>205</v>
      </c>
      <c r="B132" s="38"/>
      <c r="C132" s="36" t="s">
        <v>20</v>
      </c>
      <c r="D132" s="37"/>
      <c r="E132" s="37"/>
      <c r="F132" s="37"/>
      <c r="G132" s="37"/>
      <c r="H132" s="37"/>
      <c r="I132" s="321"/>
    </row>
    <row r="133" spans="1:9" ht="15" thickBot="1" x14ac:dyDescent="0.25">
      <c r="A133" s="307" t="s">
        <v>206</v>
      </c>
      <c r="B133" s="39"/>
      <c r="C133" s="34" t="s">
        <v>15</v>
      </c>
      <c r="D133" s="35"/>
      <c r="E133" s="35"/>
      <c r="F133" s="35"/>
      <c r="G133" s="35"/>
      <c r="H133" s="35"/>
      <c r="I133" s="322"/>
    </row>
    <row r="134" spans="1:9" ht="15.75" customHeight="1" thickBot="1" x14ac:dyDescent="0.25">
      <c r="A134" s="307" t="s">
        <v>207</v>
      </c>
      <c r="B134" s="39"/>
      <c r="C134" s="34" t="s">
        <v>12</v>
      </c>
      <c r="D134" s="35"/>
      <c r="E134" s="35"/>
      <c r="F134" s="35"/>
      <c r="G134" s="35"/>
      <c r="H134" s="35"/>
      <c r="I134" s="322"/>
    </row>
    <row r="135" spans="1:9" ht="15" thickBot="1" x14ac:dyDescent="0.25">
      <c r="A135" s="307" t="s">
        <v>208</v>
      </c>
      <c r="B135" s="25" t="s">
        <v>142</v>
      </c>
      <c r="C135" s="25" t="s">
        <v>21</v>
      </c>
      <c r="D135" s="26" t="s">
        <v>48</v>
      </c>
      <c r="E135" s="26">
        <v>1</v>
      </c>
      <c r="F135" s="26">
        <v>1</v>
      </c>
      <c r="G135" s="26">
        <v>1</v>
      </c>
      <c r="H135" s="26"/>
      <c r="I135" s="26"/>
    </row>
    <row r="136" spans="1:9" ht="15" thickBot="1" x14ac:dyDescent="0.25">
      <c r="A136" s="307" t="s">
        <v>209</v>
      </c>
      <c r="B136" s="25" t="s">
        <v>143</v>
      </c>
      <c r="C136" s="25" t="s">
        <v>151</v>
      </c>
      <c r="D136" s="26" t="s">
        <v>48</v>
      </c>
      <c r="E136" s="26"/>
      <c r="F136" s="26">
        <v>1</v>
      </c>
      <c r="G136" s="26">
        <v>1</v>
      </c>
      <c r="H136" s="26"/>
      <c r="I136" s="26"/>
    </row>
    <row r="137" spans="1:9" ht="15" thickBot="1" x14ac:dyDescent="0.25">
      <c r="A137" s="307" t="s">
        <v>210</v>
      </c>
      <c r="B137" s="25" t="s">
        <v>146</v>
      </c>
      <c r="C137" s="25" t="s">
        <v>22</v>
      </c>
      <c r="D137" s="26" t="s">
        <v>48</v>
      </c>
      <c r="E137" s="26">
        <v>2</v>
      </c>
      <c r="F137" s="26">
        <v>4</v>
      </c>
      <c r="G137" s="26">
        <v>8</v>
      </c>
      <c r="H137" s="26"/>
      <c r="I137" s="26"/>
    </row>
    <row r="138" spans="1:9" ht="15" thickBot="1" x14ac:dyDescent="0.25">
      <c r="A138" s="307" t="s">
        <v>211</v>
      </c>
      <c r="B138" s="25" t="s">
        <v>150</v>
      </c>
      <c r="C138" s="25" t="s">
        <v>23</v>
      </c>
      <c r="D138" s="26" t="s">
        <v>48</v>
      </c>
      <c r="E138" s="26">
        <v>2</v>
      </c>
      <c r="F138" s="26">
        <v>4</v>
      </c>
      <c r="G138" s="26">
        <v>8</v>
      </c>
      <c r="H138" s="26"/>
      <c r="I138" s="324">
        <v>2</v>
      </c>
    </row>
    <row r="139" spans="1:9" ht="15" thickBot="1" x14ac:dyDescent="0.25">
      <c r="A139" s="307" t="s">
        <v>212</v>
      </c>
      <c r="B139" s="28" t="s">
        <v>256</v>
      </c>
      <c r="C139" s="25" t="s">
        <v>16</v>
      </c>
      <c r="D139" s="26" t="s">
        <v>48</v>
      </c>
      <c r="E139" s="26">
        <v>1</v>
      </c>
      <c r="F139" s="26">
        <v>1</v>
      </c>
      <c r="G139" s="26">
        <v>1</v>
      </c>
      <c r="H139" s="26"/>
      <c r="I139" s="26"/>
    </row>
    <row r="140" spans="1:9" ht="15" thickBot="1" x14ac:dyDescent="0.25">
      <c r="A140" s="307" t="s">
        <v>213</v>
      </c>
      <c r="B140" s="39"/>
      <c r="C140" s="34" t="s">
        <v>27</v>
      </c>
      <c r="D140" s="35"/>
      <c r="E140" s="35"/>
      <c r="F140" s="35"/>
      <c r="G140" s="35"/>
      <c r="H140" s="35"/>
      <c r="I140" s="322"/>
    </row>
    <row r="141" spans="1:9" ht="15" thickBot="1" x14ac:dyDescent="0.25">
      <c r="A141" s="307" t="s">
        <v>214</v>
      </c>
      <c r="B141" s="25" t="s">
        <v>258</v>
      </c>
      <c r="C141" s="25" t="s">
        <v>232</v>
      </c>
      <c r="D141" s="26" t="s">
        <v>194</v>
      </c>
      <c r="E141" s="26">
        <v>1</v>
      </c>
      <c r="F141" s="26">
        <v>2</v>
      </c>
      <c r="G141" s="26">
        <v>2</v>
      </c>
      <c r="H141" s="26">
        <v>1</v>
      </c>
      <c r="I141" s="324">
        <v>1</v>
      </c>
    </row>
    <row r="142" spans="1:9" ht="15" thickBot="1" x14ac:dyDescent="0.25">
      <c r="A142" s="307" t="s">
        <v>215</v>
      </c>
      <c r="B142" s="39"/>
      <c r="C142" s="34" t="s">
        <v>18</v>
      </c>
      <c r="D142" s="35"/>
      <c r="E142" s="35"/>
      <c r="F142" s="35"/>
      <c r="G142" s="35"/>
      <c r="H142" s="35"/>
      <c r="I142" s="322"/>
    </row>
    <row r="143" spans="1:9" ht="15" thickBot="1" x14ac:dyDescent="0.25">
      <c r="A143" s="307" t="s">
        <v>216</v>
      </c>
      <c r="B143" s="39"/>
      <c r="C143" s="34" t="s">
        <v>12</v>
      </c>
      <c r="D143" s="35"/>
      <c r="E143" s="35"/>
      <c r="F143" s="35"/>
      <c r="G143" s="35"/>
      <c r="H143" s="35"/>
      <c r="I143" s="322"/>
    </row>
    <row r="144" spans="1:9" ht="15" thickBot="1" x14ac:dyDescent="0.25">
      <c r="A144" s="307" t="s">
        <v>217</v>
      </c>
      <c r="B144" s="25" t="s">
        <v>139</v>
      </c>
      <c r="C144" s="25" t="s">
        <v>24</v>
      </c>
      <c r="D144" s="26" t="s">
        <v>48</v>
      </c>
      <c r="E144" s="26">
        <v>2</v>
      </c>
      <c r="F144" s="26">
        <v>2</v>
      </c>
      <c r="G144" s="26">
        <v>2</v>
      </c>
      <c r="H144" s="26">
        <v>1</v>
      </c>
      <c r="I144" s="324">
        <v>1</v>
      </c>
    </row>
    <row r="145" spans="1:9" ht="15" thickBot="1" x14ac:dyDescent="0.25">
      <c r="A145" s="307" t="s">
        <v>218</v>
      </c>
      <c r="B145" s="25" t="s">
        <v>145</v>
      </c>
      <c r="C145" s="25" t="s">
        <v>25</v>
      </c>
      <c r="D145" s="26" t="s">
        <v>48</v>
      </c>
      <c r="E145" s="26">
        <v>1</v>
      </c>
      <c r="F145" s="26">
        <v>2</v>
      </c>
      <c r="G145" s="26">
        <v>3</v>
      </c>
      <c r="H145" s="26">
        <v>1</v>
      </c>
      <c r="I145" s="324">
        <v>1</v>
      </c>
    </row>
    <row r="148" spans="1:9" ht="15" thickBot="1" x14ac:dyDescent="0.25">
      <c r="A148" s="23" t="s">
        <v>259</v>
      </c>
    </row>
    <row r="149" spans="1:9" x14ac:dyDescent="0.2">
      <c r="A149" s="195" t="s">
        <v>1</v>
      </c>
      <c r="B149" s="195"/>
      <c r="C149" s="195" t="s">
        <v>178</v>
      </c>
      <c r="D149" s="196" t="s">
        <v>2</v>
      </c>
      <c r="E149" s="195" t="s">
        <v>181</v>
      </c>
    </row>
    <row r="150" spans="1:9" ht="24.75" thickBot="1" x14ac:dyDescent="0.25">
      <c r="A150" s="32" t="s">
        <v>321</v>
      </c>
      <c r="B150" s="45"/>
      <c r="C150" s="43" t="s">
        <v>244</v>
      </c>
      <c r="D150" s="44"/>
      <c r="E150" s="44"/>
    </row>
    <row r="151" spans="1:9" ht="15" thickBot="1" x14ac:dyDescent="0.25">
      <c r="A151" s="24" t="s">
        <v>183</v>
      </c>
      <c r="B151" s="40"/>
      <c r="C151" s="41" t="s">
        <v>12</v>
      </c>
      <c r="D151" s="42"/>
      <c r="E151" s="42"/>
    </row>
    <row r="152" spans="1:9" ht="15" thickBot="1" x14ac:dyDescent="0.25">
      <c r="A152" s="28" t="s">
        <v>184</v>
      </c>
      <c r="B152" s="28" t="s">
        <v>230</v>
      </c>
      <c r="C152" s="28" t="s">
        <v>244</v>
      </c>
      <c r="D152" s="29" t="s">
        <v>48</v>
      </c>
      <c r="E152" s="30">
        <v>1</v>
      </c>
    </row>
    <row r="153" spans="1:9" ht="15" thickBot="1" x14ac:dyDescent="0.25">
      <c r="A153" s="24" t="s">
        <v>198</v>
      </c>
      <c r="B153" s="40"/>
      <c r="C153" s="41" t="s">
        <v>27</v>
      </c>
      <c r="D153" s="42"/>
      <c r="E153" s="42"/>
    </row>
    <row r="154" spans="1:9" ht="15" thickBot="1" x14ac:dyDescent="0.25">
      <c r="A154" s="25" t="s">
        <v>199</v>
      </c>
      <c r="B154" s="25" t="s">
        <v>258</v>
      </c>
      <c r="C154" s="25" t="s">
        <v>193</v>
      </c>
      <c r="D154" s="26" t="s">
        <v>194</v>
      </c>
      <c r="E154" s="27">
        <v>1</v>
      </c>
    </row>
    <row r="156" spans="1:9" ht="15" thickBot="1" x14ac:dyDescent="0.25">
      <c r="A156" s="23" t="s">
        <v>260</v>
      </c>
    </row>
    <row r="157" spans="1:9" x14ac:dyDescent="0.2">
      <c r="A157" s="195" t="s">
        <v>1</v>
      </c>
      <c r="B157" s="195"/>
      <c r="C157" s="195" t="s">
        <v>178</v>
      </c>
      <c r="D157" s="196" t="s">
        <v>2</v>
      </c>
      <c r="E157" s="195" t="s">
        <v>181</v>
      </c>
    </row>
    <row r="158" spans="1:9" ht="24.75" thickBot="1" x14ac:dyDescent="0.25">
      <c r="A158" s="32" t="s">
        <v>321</v>
      </c>
      <c r="B158" s="45"/>
      <c r="C158" s="43" t="s">
        <v>245</v>
      </c>
      <c r="D158" s="44"/>
      <c r="E158" s="44"/>
    </row>
    <row r="159" spans="1:9" ht="15" thickBot="1" x14ac:dyDescent="0.25">
      <c r="A159" s="24" t="s">
        <v>183</v>
      </c>
      <c r="B159" s="40"/>
      <c r="C159" s="41" t="s">
        <v>12</v>
      </c>
      <c r="D159" s="42"/>
      <c r="E159" s="42"/>
    </row>
    <row r="160" spans="1:9" ht="15" thickBot="1" x14ac:dyDescent="0.25">
      <c r="A160" s="28" t="s">
        <v>184</v>
      </c>
      <c r="B160" s="28" t="s">
        <v>231</v>
      </c>
      <c r="C160" s="28" t="s">
        <v>36</v>
      </c>
      <c r="D160" s="29" t="s">
        <v>48</v>
      </c>
      <c r="E160" s="30">
        <v>1</v>
      </c>
    </row>
    <row r="161" spans="1:7" ht="15" thickBot="1" x14ac:dyDescent="0.25">
      <c r="A161" s="24" t="s">
        <v>198</v>
      </c>
      <c r="B161" s="40"/>
      <c r="C161" s="41" t="s">
        <v>27</v>
      </c>
      <c r="D161" s="42"/>
      <c r="E161" s="42"/>
    </row>
    <row r="162" spans="1:7" ht="15" thickBot="1" x14ac:dyDescent="0.25">
      <c r="A162" s="25" t="s">
        <v>199</v>
      </c>
      <c r="B162" s="25" t="s">
        <v>258</v>
      </c>
      <c r="C162" s="25" t="s">
        <v>193</v>
      </c>
      <c r="D162" s="26" t="s">
        <v>194</v>
      </c>
      <c r="E162" s="27">
        <v>1</v>
      </c>
    </row>
    <row r="163" spans="1:7" x14ac:dyDescent="0.2">
      <c r="A163" s="48"/>
      <c r="B163" s="48"/>
      <c r="C163" s="48"/>
      <c r="D163" s="49"/>
      <c r="E163" s="49"/>
    </row>
    <row r="164" spans="1:7" ht="15" thickBot="1" x14ac:dyDescent="0.25">
      <c r="A164" s="23" t="s">
        <v>220</v>
      </c>
    </row>
    <row r="165" spans="1:7" ht="15.75" customHeight="1" thickBot="1" x14ac:dyDescent="0.25">
      <c r="A165" s="457" t="s">
        <v>1</v>
      </c>
      <c r="B165" s="195"/>
      <c r="C165" s="454" t="s">
        <v>178</v>
      </c>
      <c r="D165" s="460" t="s">
        <v>2</v>
      </c>
      <c r="E165" s="197" t="s">
        <v>221</v>
      </c>
      <c r="F165" s="198"/>
      <c r="G165" s="198"/>
    </row>
    <row r="166" spans="1:7" ht="24.75" thickBot="1" x14ac:dyDescent="0.25">
      <c r="A166" s="458"/>
      <c r="B166" s="199"/>
      <c r="C166" s="455"/>
      <c r="D166" s="461"/>
      <c r="E166" s="194" t="s">
        <v>103</v>
      </c>
      <c r="F166" s="194" t="s">
        <v>104</v>
      </c>
      <c r="G166" s="200" t="s">
        <v>105</v>
      </c>
    </row>
    <row r="167" spans="1:7" ht="15" thickBot="1" x14ac:dyDescent="0.25">
      <c r="A167" s="459"/>
      <c r="B167" s="194"/>
      <c r="C167" s="456"/>
      <c r="D167" s="462"/>
      <c r="E167" s="201" t="s">
        <v>181</v>
      </c>
      <c r="F167" s="202"/>
      <c r="G167" s="202"/>
    </row>
    <row r="168" spans="1:7" ht="15" thickBot="1" x14ac:dyDescent="0.25">
      <c r="A168" s="24" t="s">
        <v>5</v>
      </c>
      <c r="B168" s="40"/>
      <c r="C168" s="41" t="s">
        <v>154</v>
      </c>
      <c r="D168" s="42"/>
      <c r="E168" s="42"/>
      <c r="F168" s="42"/>
      <c r="G168" s="42"/>
    </row>
    <row r="169" spans="1:7" ht="15" thickBot="1" x14ac:dyDescent="0.25">
      <c r="A169" s="24" t="s">
        <v>183</v>
      </c>
      <c r="B169" s="40"/>
      <c r="C169" s="41" t="s">
        <v>12</v>
      </c>
      <c r="D169" s="42"/>
      <c r="E169" s="42"/>
      <c r="F169" s="42"/>
      <c r="G169" s="42"/>
    </row>
    <row r="170" spans="1:7" ht="15" thickBot="1" x14ac:dyDescent="0.25">
      <c r="A170" s="25" t="s">
        <v>184</v>
      </c>
      <c r="B170" s="25" t="s">
        <v>251</v>
      </c>
      <c r="C170" s="25" t="s">
        <v>38</v>
      </c>
      <c r="D170" s="26" t="s">
        <v>222</v>
      </c>
      <c r="E170" s="26">
        <v>1</v>
      </c>
      <c r="F170" s="26">
        <v>1</v>
      </c>
      <c r="G170" s="27">
        <v>1</v>
      </c>
    </row>
    <row r="171" spans="1:7" ht="15" thickBot="1" x14ac:dyDescent="0.25">
      <c r="A171" s="25" t="s">
        <v>191</v>
      </c>
      <c r="B171" s="25" t="s">
        <v>97</v>
      </c>
      <c r="C171" s="25" t="s">
        <v>39</v>
      </c>
      <c r="D171" s="26" t="s">
        <v>48</v>
      </c>
      <c r="E171" s="26">
        <v>1</v>
      </c>
      <c r="F171" s="26">
        <v>2</v>
      </c>
      <c r="G171" s="27">
        <v>3</v>
      </c>
    </row>
    <row r="172" spans="1:7" ht="15" thickBot="1" x14ac:dyDescent="0.25">
      <c r="A172" s="25" t="s">
        <v>223</v>
      </c>
      <c r="B172" s="25" t="s">
        <v>100</v>
      </c>
      <c r="C172" s="25" t="s">
        <v>40</v>
      </c>
      <c r="D172" s="26" t="s">
        <v>48</v>
      </c>
      <c r="E172" s="26">
        <v>1</v>
      </c>
      <c r="F172" s="26">
        <v>2</v>
      </c>
      <c r="G172" s="27">
        <v>3</v>
      </c>
    </row>
    <row r="173" spans="1:7" ht="15" thickBot="1" x14ac:dyDescent="0.25">
      <c r="A173" s="24" t="s">
        <v>198</v>
      </c>
      <c r="B173" s="40"/>
      <c r="C173" s="41" t="s">
        <v>27</v>
      </c>
      <c r="D173" s="42"/>
      <c r="E173" s="42"/>
      <c r="F173" s="42"/>
      <c r="G173" s="42"/>
    </row>
    <row r="174" spans="1:7" ht="15" thickBot="1" x14ac:dyDescent="0.25">
      <c r="A174" s="25" t="s">
        <v>199</v>
      </c>
      <c r="B174" s="25" t="s">
        <v>258</v>
      </c>
      <c r="C174" s="25" t="s">
        <v>193</v>
      </c>
      <c r="D174" s="26" t="s">
        <v>194</v>
      </c>
      <c r="E174" s="26">
        <v>1</v>
      </c>
      <c r="F174" s="26">
        <v>1</v>
      </c>
      <c r="G174" s="27">
        <v>1</v>
      </c>
    </row>
    <row r="175" spans="1:7" ht="15" x14ac:dyDescent="0.2">
      <c r="A175" s="31"/>
    </row>
    <row r="176" spans="1:7" ht="15" thickBot="1" x14ac:dyDescent="0.25">
      <c r="A176" s="23" t="s">
        <v>224</v>
      </c>
    </row>
    <row r="177" spans="1:8" x14ac:dyDescent="0.2">
      <c r="A177" s="195" t="s">
        <v>1</v>
      </c>
      <c r="B177" s="195"/>
      <c r="C177" s="195" t="s">
        <v>178</v>
      </c>
      <c r="D177" s="196" t="s">
        <v>2</v>
      </c>
      <c r="E177" s="195" t="s">
        <v>181</v>
      </c>
      <c r="F177" s="195" t="s">
        <v>181</v>
      </c>
    </row>
    <row r="178" spans="1:8" ht="15" thickBot="1" x14ac:dyDescent="0.25">
      <c r="A178" s="32" t="s">
        <v>321</v>
      </c>
      <c r="B178" s="45"/>
      <c r="C178" s="43" t="s">
        <v>225</v>
      </c>
      <c r="D178" s="44"/>
      <c r="E178" s="44"/>
      <c r="F178" s="44"/>
    </row>
    <row r="179" spans="1:8" ht="15" thickBot="1" x14ac:dyDescent="0.25">
      <c r="A179" s="24" t="s">
        <v>183</v>
      </c>
      <c r="B179" s="40"/>
      <c r="C179" s="41" t="s">
        <v>12</v>
      </c>
      <c r="D179" s="42"/>
      <c r="E179" s="42"/>
      <c r="F179" s="42"/>
    </row>
    <row r="180" spans="1:8" ht="15" thickBot="1" x14ac:dyDescent="0.25">
      <c r="A180" s="28" t="s">
        <v>184</v>
      </c>
      <c r="B180" s="28" t="s">
        <v>252</v>
      </c>
      <c r="C180" s="28" t="s">
        <v>226</v>
      </c>
      <c r="D180" s="29" t="s">
        <v>48</v>
      </c>
      <c r="E180" s="30">
        <v>1</v>
      </c>
      <c r="F180" s="30"/>
    </row>
    <row r="181" spans="1:8" ht="15" thickBot="1" x14ac:dyDescent="0.25">
      <c r="A181" s="25" t="s">
        <v>191</v>
      </c>
      <c r="B181" s="25" t="s">
        <v>100</v>
      </c>
      <c r="C181" s="25" t="s">
        <v>40</v>
      </c>
      <c r="D181" s="26" t="s">
        <v>48</v>
      </c>
      <c r="E181" s="27">
        <v>2</v>
      </c>
      <c r="F181" s="27"/>
    </row>
    <row r="182" spans="1:8" ht="15" thickBot="1" x14ac:dyDescent="0.25">
      <c r="A182" s="24" t="s">
        <v>198</v>
      </c>
      <c r="B182" s="40"/>
      <c r="C182" s="41" t="s">
        <v>27</v>
      </c>
      <c r="D182" s="42"/>
      <c r="E182" s="42"/>
      <c r="F182" s="42"/>
    </row>
    <row r="183" spans="1:8" ht="15" thickBot="1" x14ac:dyDescent="0.25">
      <c r="A183" s="25" t="s">
        <v>199</v>
      </c>
      <c r="B183" s="25" t="s">
        <v>258</v>
      </c>
      <c r="C183" s="25" t="s">
        <v>193</v>
      </c>
      <c r="D183" s="26" t="s">
        <v>194</v>
      </c>
      <c r="E183" s="27">
        <v>1</v>
      </c>
      <c r="F183" s="27"/>
    </row>
    <row r="185" spans="1:8" ht="15" thickBot="1" x14ac:dyDescent="0.25">
      <c r="A185" s="23" t="s">
        <v>227</v>
      </c>
    </row>
    <row r="186" spans="1:8" ht="24.75" thickBot="1" x14ac:dyDescent="0.25">
      <c r="A186" s="203" t="s">
        <v>1</v>
      </c>
      <c r="B186" s="195" t="s">
        <v>370</v>
      </c>
      <c r="C186" s="302" t="s">
        <v>178</v>
      </c>
      <c r="D186" s="303" t="s">
        <v>2</v>
      </c>
      <c r="E186" s="301" t="s">
        <v>103</v>
      </c>
      <c r="F186" s="301" t="s">
        <v>104</v>
      </c>
      <c r="G186" s="300" t="s">
        <v>105</v>
      </c>
      <c r="H186" s="312" t="s">
        <v>180</v>
      </c>
    </row>
    <row r="187" spans="1:8" ht="15.75" customHeight="1" thickBot="1" x14ac:dyDescent="0.25">
      <c r="A187" s="205"/>
      <c r="B187" s="204"/>
      <c r="C187" s="205"/>
      <c r="D187" s="206"/>
      <c r="E187" s="472" t="s">
        <v>181</v>
      </c>
      <c r="F187" s="473"/>
      <c r="G187" s="473"/>
      <c r="H187" s="474"/>
    </row>
    <row r="188" spans="1:8" ht="15" thickBot="1" x14ac:dyDescent="0.25">
      <c r="A188" s="310" t="s">
        <v>182</v>
      </c>
      <c r="B188" s="311"/>
      <c r="C188" s="46" t="s">
        <v>155</v>
      </c>
      <c r="D188" s="47"/>
      <c r="E188" s="47"/>
      <c r="F188" s="47"/>
      <c r="G188" s="47"/>
      <c r="H188" s="304"/>
    </row>
    <row r="189" spans="1:8" ht="15" thickBot="1" x14ac:dyDescent="0.25">
      <c r="A189" s="305" t="s">
        <v>183</v>
      </c>
      <c r="B189" s="40"/>
      <c r="C189" s="41" t="s">
        <v>12</v>
      </c>
      <c r="D189" s="42"/>
      <c r="E189" s="42"/>
      <c r="F189" s="42"/>
      <c r="G189" s="42"/>
      <c r="H189" s="308"/>
    </row>
    <row r="190" spans="1:8" ht="15" thickBot="1" x14ac:dyDescent="0.25">
      <c r="A190" s="307" t="s">
        <v>184</v>
      </c>
      <c r="B190" s="25" t="s">
        <v>253</v>
      </c>
      <c r="C190" s="25" t="s">
        <v>37</v>
      </c>
      <c r="D190" s="26" t="s">
        <v>48</v>
      </c>
      <c r="E190" s="26">
        <v>1</v>
      </c>
      <c r="F190" s="26">
        <v>1</v>
      </c>
      <c r="G190" s="27">
        <v>2</v>
      </c>
      <c r="H190" s="309">
        <f>0.1*E190</f>
        <v>0.1</v>
      </c>
    </row>
    <row r="191" spans="1:8" ht="15" thickBot="1" x14ac:dyDescent="0.25">
      <c r="A191" s="307" t="s">
        <v>191</v>
      </c>
      <c r="B191" s="25" t="s">
        <v>254</v>
      </c>
      <c r="C191" s="25" t="s">
        <v>141</v>
      </c>
      <c r="D191" s="26" t="s">
        <v>48</v>
      </c>
      <c r="E191" s="26">
        <v>3</v>
      </c>
      <c r="F191" s="26">
        <v>3</v>
      </c>
      <c r="G191" s="27">
        <v>6</v>
      </c>
      <c r="H191" s="309">
        <f>E191*0.1</f>
        <v>0.30000000000000004</v>
      </c>
    </row>
    <row r="192" spans="1:8" ht="15" thickBot="1" x14ac:dyDescent="0.25">
      <c r="A192" s="305" t="s">
        <v>198</v>
      </c>
      <c r="B192" s="40"/>
      <c r="C192" s="41" t="s">
        <v>228</v>
      </c>
      <c r="D192" s="42"/>
      <c r="E192" s="42"/>
      <c r="F192" s="42"/>
      <c r="G192" s="42"/>
      <c r="H192" s="306"/>
    </row>
    <row r="193" spans="1:8" ht="15" thickBot="1" x14ac:dyDescent="0.25">
      <c r="A193" s="307" t="s">
        <v>199</v>
      </c>
      <c r="B193" s="25" t="s">
        <v>255</v>
      </c>
      <c r="C193" s="25" t="s">
        <v>246</v>
      </c>
      <c r="D193" s="26" t="s">
        <v>194</v>
      </c>
      <c r="E193" s="26">
        <v>1</v>
      </c>
      <c r="F193" s="26">
        <v>1</v>
      </c>
      <c r="G193" s="27">
        <v>2</v>
      </c>
      <c r="H193" s="309">
        <f>0.1*E193</f>
        <v>0.1</v>
      </c>
    </row>
  </sheetData>
  <mergeCells count="35">
    <mergeCell ref="E187:H187"/>
    <mergeCell ref="B38:B39"/>
    <mergeCell ref="C38:E38"/>
    <mergeCell ref="B47:B48"/>
    <mergeCell ref="C47:E47"/>
    <mergeCell ref="B55:B56"/>
    <mergeCell ref="C55:E55"/>
    <mergeCell ref="B65:B66"/>
    <mergeCell ref="C65:E65"/>
    <mergeCell ref="B75:B76"/>
    <mergeCell ref="C75:E75"/>
    <mergeCell ref="B83:B84"/>
    <mergeCell ref="C83:E83"/>
    <mergeCell ref="B97:B98"/>
    <mergeCell ref="C97:C98"/>
    <mergeCell ref="D97:D98"/>
    <mergeCell ref="B10:B11"/>
    <mergeCell ref="C10:E10"/>
    <mergeCell ref="B20:B21"/>
    <mergeCell ref="C20:E20"/>
    <mergeCell ref="B30:B31"/>
    <mergeCell ref="C30:E30"/>
    <mergeCell ref="E97:F97"/>
    <mergeCell ref="G98:I106"/>
    <mergeCell ref="I109:I110"/>
    <mergeCell ref="E109:G109"/>
    <mergeCell ref="B109:B111"/>
    <mergeCell ref="H109:H110"/>
    <mergeCell ref="E111:I111"/>
    <mergeCell ref="A109:A111"/>
    <mergeCell ref="A165:A167"/>
    <mergeCell ref="C165:C167"/>
    <mergeCell ref="D165:D167"/>
    <mergeCell ref="C109:C111"/>
    <mergeCell ref="D109:D111"/>
  </mergeCells>
  <printOptions horizontalCentered="1"/>
  <pageMargins left="0.78740157480314965" right="0.51181102362204722" top="0.78740157480314965" bottom="0.78740157480314965" header="0.31496062992125984" footer="0.31496062992125984"/>
  <pageSetup paperSize="9" scale="48" orientation="portrait" r:id="rId1"/>
  <headerFooter>
    <oddFooter>&amp;C&amp;A</oddFooter>
  </headerFooter>
  <rowBreaks count="1" manualBreakCount="1">
    <brk id="95" max="1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55"/>
  <sheetViews>
    <sheetView zoomScaleNormal="100" workbookViewId="0">
      <selection activeCell="D20" sqref="D20"/>
    </sheetView>
  </sheetViews>
  <sheetFormatPr defaultRowHeight="12.75" x14ac:dyDescent="0.2"/>
  <cols>
    <col min="1" max="1" width="13.28515625" style="392" customWidth="1"/>
    <col min="2" max="2" width="60.140625" style="392" customWidth="1"/>
    <col min="3" max="3" width="6.28515625" style="402" customWidth="1"/>
    <col min="4" max="4" width="12.7109375" style="392" bestFit="1" customWidth="1"/>
    <col min="5" max="5" width="18.140625" style="392" customWidth="1"/>
    <col min="6" max="7" width="22.28515625" style="392" customWidth="1"/>
    <col min="8" max="8" width="14.5703125" style="392" customWidth="1"/>
    <col min="9" max="253" width="8.85546875" style="392"/>
    <col min="254" max="254" width="13.28515625" style="392" customWidth="1"/>
    <col min="255" max="255" width="80.5703125" style="392" customWidth="1"/>
    <col min="256" max="256" width="6.28515625" style="392" customWidth="1"/>
    <col min="257" max="257" width="11.140625" style="392" customWidth="1"/>
    <col min="258" max="258" width="12.28515625" style="392" customWidth="1"/>
    <col min="259" max="259" width="3" style="392" customWidth="1"/>
    <col min="260" max="260" width="3.140625" style="392" customWidth="1"/>
    <col min="261" max="261" width="11.28515625" style="392" customWidth="1"/>
    <col min="262" max="262" width="0.5703125" style="392" customWidth="1"/>
    <col min="263" max="509" width="8.85546875" style="392"/>
    <col min="510" max="510" width="13.28515625" style="392" customWidth="1"/>
    <col min="511" max="511" width="80.5703125" style="392" customWidth="1"/>
    <col min="512" max="512" width="6.28515625" style="392" customWidth="1"/>
    <col min="513" max="513" width="11.140625" style="392" customWidth="1"/>
    <col min="514" max="514" width="12.28515625" style="392" customWidth="1"/>
    <col min="515" max="515" width="3" style="392" customWidth="1"/>
    <col min="516" max="516" width="3.140625" style="392" customWidth="1"/>
    <col min="517" max="517" width="11.28515625" style="392" customWidth="1"/>
    <col min="518" max="518" width="0.5703125" style="392" customWidth="1"/>
    <col min="519" max="765" width="8.85546875" style="392"/>
    <col min="766" max="766" width="13.28515625" style="392" customWidth="1"/>
    <col min="767" max="767" width="80.5703125" style="392" customWidth="1"/>
    <col min="768" max="768" width="6.28515625" style="392" customWidth="1"/>
    <col min="769" max="769" width="11.140625" style="392" customWidth="1"/>
    <col min="770" max="770" width="12.28515625" style="392" customWidth="1"/>
    <col min="771" max="771" width="3" style="392" customWidth="1"/>
    <col min="772" max="772" width="3.140625" style="392" customWidth="1"/>
    <col min="773" max="773" width="11.28515625" style="392" customWidth="1"/>
    <col min="774" max="774" width="0.5703125" style="392" customWidth="1"/>
    <col min="775" max="1021" width="8.85546875" style="392"/>
    <col min="1022" max="1022" width="13.28515625" style="392" customWidth="1"/>
    <col min="1023" max="1023" width="80.5703125" style="392" customWidth="1"/>
    <col min="1024" max="1024" width="6.28515625" style="392" customWidth="1"/>
    <col min="1025" max="1025" width="11.140625" style="392" customWidth="1"/>
    <col min="1026" max="1026" width="12.28515625" style="392" customWidth="1"/>
    <col min="1027" max="1027" width="3" style="392" customWidth="1"/>
    <col min="1028" max="1028" width="3.140625" style="392" customWidth="1"/>
    <col min="1029" max="1029" width="11.28515625" style="392" customWidth="1"/>
    <col min="1030" max="1030" width="0.5703125" style="392" customWidth="1"/>
    <col min="1031" max="1277" width="8.85546875" style="392"/>
    <col min="1278" max="1278" width="13.28515625" style="392" customWidth="1"/>
    <col min="1279" max="1279" width="80.5703125" style="392" customWidth="1"/>
    <col min="1280" max="1280" width="6.28515625" style="392" customWidth="1"/>
    <col min="1281" max="1281" width="11.140625" style="392" customWidth="1"/>
    <col min="1282" max="1282" width="12.28515625" style="392" customWidth="1"/>
    <col min="1283" max="1283" width="3" style="392" customWidth="1"/>
    <col min="1284" max="1284" width="3.140625" style="392" customWidth="1"/>
    <col min="1285" max="1285" width="11.28515625" style="392" customWidth="1"/>
    <col min="1286" max="1286" width="0.5703125" style="392" customWidth="1"/>
    <col min="1287" max="1533" width="8.85546875" style="392"/>
    <col min="1534" max="1534" width="13.28515625" style="392" customWidth="1"/>
    <col min="1535" max="1535" width="80.5703125" style="392" customWidth="1"/>
    <col min="1536" max="1536" width="6.28515625" style="392" customWidth="1"/>
    <col min="1537" max="1537" width="11.140625" style="392" customWidth="1"/>
    <col min="1538" max="1538" width="12.28515625" style="392" customWidth="1"/>
    <col min="1539" max="1539" width="3" style="392" customWidth="1"/>
    <col min="1540" max="1540" width="3.140625" style="392" customWidth="1"/>
    <col min="1541" max="1541" width="11.28515625" style="392" customWidth="1"/>
    <col min="1542" max="1542" width="0.5703125" style="392" customWidth="1"/>
    <col min="1543" max="1789" width="8.85546875" style="392"/>
    <col min="1790" max="1790" width="13.28515625" style="392" customWidth="1"/>
    <col min="1791" max="1791" width="80.5703125" style="392" customWidth="1"/>
    <col min="1792" max="1792" width="6.28515625" style="392" customWidth="1"/>
    <col min="1793" max="1793" width="11.140625" style="392" customWidth="1"/>
    <col min="1794" max="1794" width="12.28515625" style="392" customWidth="1"/>
    <col min="1795" max="1795" width="3" style="392" customWidth="1"/>
    <col min="1796" max="1796" width="3.140625" style="392" customWidth="1"/>
    <col min="1797" max="1797" width="11.28515625" style="392" customWidth="1"/>
    <col min="1798" max="1798" width="0.5703125" style="392" customWidth="1"/>
    <col min="1799" max="2045" width="8.85546875" style="392"/>
    <col min="2046" max="2046" width="13.28515625" style="392" customWidth="1"/>
    <col min="2047" max="2047" width="80.5703125" style="392" customWidth="1"/>
    <col min="2048" max="2048" width="6.28515625" style="392" customWidth="1"/>
    <col min="2049" max="2049" width="11.140625" style="392" customWidth="1"/>
    <col min="2050" max="2050" width="12.28515625" style="392" customWidth="1"/>
    <col min="2051" max="2051" width="3" style="392" customWidth="1"/>
    <col min="2052" max="2052" width="3.140625" style="392" customWidth="1"/>
    <col min="2053" max="2053" width="11.28515625" style="392" customWidth="1"/>
    <col min="2054" max="2054" width="0.5703125" style="392" customWidth="1"/>
    <col min="2055" max="2301" width="8.85546875" style="392"/>
    <col min="2302" max="2302" width="13.28515625" style="392" customWidth="1"/>
    <col min="2303" max="2303" width="80.5703125" style="392" customWidth="1"/>
    <col min="2304" max="2304" width="6.28515625" style="392" customWidth="1"/>
    <col min="2305" max="2305" width="11.140625" style="392" customWidth="1"/>
    <col min="2306" max="2306" width="12.28515625" style="392" customWidth="1"/>
    <col min="2307" max="2307" width="3" style="392" customWidth="1"/>
    <col min="2308" max="2308" width="3.140625" style="392" customWidth="1"/>
    <col min="2309" max="2309" width="11.28515625" style="392" customWidth="1"/>
    <col min="2310" max="2310" width="0.5703125" style="392" customWidth="1"/>
    <col min="2311" max="2557" width="8.85546875" style="392"/>
    <col min="2558" max="2558" width="13.28515625" style="392" customWidth="1"/>
    <col min="2559" max="2559" width="80.5703125" style="392" customWidth="1"/>
    <col min="2560" max="2560" width="6.28515625" style="392" customWidth="1"/>
    <col min="2561" max="2561" width="11.140625" style="392" customWidth="1"/>
    <col min="2562" max="2562" width="12.28515625" style="392" customWidth="1"/>
    <col min="2563" max="2563" width="3" style="392" customWidth="1"/>
    <col min="2564" max="2564" width="3.140625" style="392" customWidth="1"/>
    <col min="2565" max="2565" width="11.28515625" style="392" customWidth="1"/>
    <col min="2566" max="2566" width="0.5703125" style="392" customWidth="1"/>
    <col min="2567" max="2813" width="8.85546875" style="392"/>
    <col min="2814" max="2814" width="13.28515625" style="392" customWidth="1"/>
    <col min="2815" max="2815" width="80.5703125" style="392" customWidth="1"/>
    <col min="2816" max="2816" width="6.28515625" style="392" customWidth="1"/>
    <col min="2817" max="2817" width="11.140625" style="392" customWidth="1"/>
    <col min="2818" max="2818" width="12.28515625" style="392" customWidth="1"/>
    <col min="2819" max="2819" width="3" style="392" customWidth="1"/>
    <col min="2820" max="2820" width="3.140625" style="392" customWidth="1"/>
    <col min="2821" max="2821" width="11.28515625" style="392" customWidth="1"/>
    <col min="2822" max="2822" width="0.5703125" style="392" customWidth="1"/>
    <col min="2823" max="3069" width="8.85546875" style="392"/>
    <col min="3070" max="3070" width="13.28515625" style="392" customWidth="1"/>
    <col min="3071" max="3071" width="80.5703125" style="392" customWidth="1"/>
    <col min="3072" max="3072" width="6.28515625" style="392" customWidth="1"/>
    <col min="3073" max="3073" width="11.140625" style="392" customWidth="1"/>
    <col min="3074" max="3074" width="12.28515625" style="392" customWidth="1"/>
    <col min="3075" max="3075" width="3" style="392" customWidth="1"/>
    <col min="3076" max="3076" width="3.140625" style="392" customWidth="1"/>
    <col min="3077" max="3077" width="11.28515625" style="392" customWidth="1"/>
    <col min="3078" max="3078" width="0.5703125" style="392" customWidth="1"/>
    <col min="3079" max="3325" width="8.85546875" style="392"/>
    <col min="3326" max="3326" width="13.28515625" style="392" customWidth="1"/>
    <col min="3327" max="3327" width="80.5703125" style="392" customWidth="1"/>
    <col min="3328" max="3328" width="6.28515625" style="392" customWidth="1"/>
    <col min="3329" max="3329" width="11.140625" style="392" customWidth="1"/>
    <col min="3330" max="3330" width="12.28515625" style="392" customWidth="1"/>
    <col min="3331" max="3331" width="3" style="392" customWidth="1"/>
    <col min="3332" max="3332" width="3.140625" style="392" customWidth="1"/>
    <col min="3333" max="3333" width="11.28515625" style="392" customWidth="1"/>
    <col min="3334" max="3334" width="0.5703125" style="392" customWidth="1"/>
    <col min="3335" max="3581" width="8.85546875" style="392"/>
    <col min="3582" max="3582" width="13.28515625" style="392" customWidth="1"/>
    <col min="3583" max="3583" width="80.5703125" style="392" customWidth="1"/>
    <col min="3584" max="3584" width="6.28515625" style="392" customWidth="1"/>
    <col min="3585" max="3585" width="11.140625" style="392" customWidth="1"/>
    <col min="3586" max="3586" width="12.28515625" style="392" customWidth="1"/>
    <col min="3587" max="3587" width="3" style="392" customWidth="1"/>
    <col min="3588" max="3588" width="3.140625" style="392" customWidth="1"/>
    <col min="3589" max="3589" width="11.28515625" style="392" customWidth="1"/>
    <col min="3590" max="3590" width="0.5703125" style="392" customWidth="1"/>
    <col min="3591" max="3837" width="8.85546875" style="392"/>
    <col min="3838" max="3838" width="13.28515625" style="392" customWidth="1"/>
    <col min="3839" max="3839" width="80.5703125" style="392" customWidth="1"/>
    <col min="3840" max="3840" width="6.28515625" style="392" customWidth="1"/>
    <col min="3841" max="3841" width="11.140625" style="392" customWidth="1"/>
    <col min="3842" max="3842" width="12.28515625" style="392" customWidth="1"/>
    <col min="3843" max="3843" width="3" style="392" customWidth="1"/>
    <col min="3844" max="3844" width="3.140625" style="392" customWidth="1"/>
    <col min="3845" max="3845" width="11.28515625" style="392" customWidth="1"/>
    <col min="3846" max="3846" width="0.5703125" style="392" customWidth="1"/>
    <col min="3847" max="4093" width="8.85546875" style="392"/>
    <col min="4094" max="4094" width="13.28515625" style="392" customWidth="1"/>
    <col min="4095" max="4095" width="80.5703125" style="392" customWidth="1"/>
    <col min="4096" max="4096" width="6.28515625" style="392" customWidth="1"/>
    <col min="4097" max="4097" width="11.140625" style="392" customWidth="1"/>
    <col min="4098" max="4098" width="12.28515625" style="392" customWidth="1"/>
    <col min="4099" max="4099" width="3" style="392" customWidth="1"/>
    <col min="4100" max="4100" width="3.140625" style="392" customWidth="1"/>
    <col min="4101" max="4101" width="11.28515625" style="392" customWidth="1"/>
    <col min="4102" max="4102" width="0.5703125" style="392" customWidth="1"/>
    <col min="4103" max="4349" width="8.85546875" style="392"/>
    <col min="4350" max="4350" width="13.28515625" style="392" customWidth="1"/>
    <col min="4351" max="4351" width="80.5703125" style="392" customWidth="1"/>
    <col min="4352" max="4352" width="6.28515625" style="392" customWidth="1"/>
    <col min="4353" max="4353" width="11.140625" style="392" customWidth="1"/>
    <col min="4354" max="4354" width="12.28515625" style="392" customWidth="1"/>
    <col min="4355" max="4355" width="3" style="392" customWidth="1"/>
    <col min="4356" max="4356" width="3.140625" style="392" customWidth="1"/>
    <col min="4357" max="4357" width="11.28515625" style="392" customWidth="1"/>
    <col min="4358" max="4358" width="0.5703125" style="392" customWidth="1"/>
    <col min="4359" max="4605" width="8.85546875" style="392"/>
    <col min="4606" max="4606" width="13.28515625" style="392" customWidth="1"/>
    <col min="4607" max="4607" width="80.5703125" style="392" customWidth="1"/>
    <col min="4608" max="4608" width="6.28515625" style="392" customWidth="1"/>
    <col min="4609" max="4609" width="11.140625" style="392" customWidth="1"/>
    <col min="4610" max="4610" width="12.28515625" style="392" customWidth="1"/>
    <col min="4611" max="4611" width="3" style="392" customWidth="1"/>
    <col min="4612" max="4612" width="3.140625" style="392" customWidth="1"/>
    <col min="4613" max="4613" width="11.28515625" style="392" customWidth="1"/>
    <col min="4614" max="4614" width="0.5703125" style="392" customWidth="1"/>
    <col min="4615" max="4861" width="8.85546875" style="392"/>
    <col min="4862" max="4862" width="13.28515625" style="392" customWidth="1"/>
    <col min="4863" max="4863" width="80.5703125" style="392" customWidth="1"/>
    <col min="4864" max="4864" width="6.28515625" style="392" customWidth="1"/>
    <col min="4865" max="4865" width="11.140625" style="392" customWidth="1"/>
    <col min="4866" max="4866" width="12.28515625" style="392" customWidth="1"/>
    <col min="4867" max="4867" width="3" style="392" customWidth="1"/>
    <col min="4868" max="4868" width="3.140625" style="392" customWidth="1"/>
    <col min="4869" max="4869" width="11.28515625" style="392" customWidth="1"/>
    <col min="4870" max="4870" width="0.5703125" style="392" customWidth="1"/>
    <col min="4871" max="5117" width="8.85546875" style="392"/>
    <col min="5118" max="5118" width="13.28515625" style="392" customWidth="1"/>
    <col min="5119" max="5119" width="80.5703125" style="392" customWidth="1"/>
    <col min="5120" max="5120" width="6.28515625" style="392" customWidth="1"/>
    <col min="5121" max="5121" width="11.140625" style="392" customWidth="1"/>
    <col min="5122" max="5122" width="12.28515625" style="392" customWidth="1"/>
    <col min="5123" max="5123" width="3" style="392" customWidth="1"/>
    <col min="5124" max="5124" width="3.140625" style="392" customWidth="1"/>
    <col min="5125" max="5125" width="11.28515625" style="392" customWidth="1"/>
    <col min="5126" max="5126" width="0.5703125" style="392" customWidth="1"/>
    <col min="5127" max="5373" width="8.85546875" style="392"/>
    <col min="5374" max="5374" width="13.28515625" style="392" customWidth="1"/>
    <col min="5375" max="5375" width="80.5703125" style="392" customWidth="1"/>
    <col min="5376" max="5376" width="6.28515625" style="392" customWidth="1"/>
    <col min="5377" max="5377" width="11.140625" style="392" customWidth="1"/>
    <col min="5378" max="5378" width="12.28515625" style="392" customWidth="1"/>
    <col min="5379" max="5379" width="3" style="392" customWidth="1"/>
    <col min="5380" max="5380" width="3.140625" style="392" customWidth="1"/>
    <col min="5381" max="5381" width="11.28515625" style="392" customWidth="1"/>
    <col min="5382" max="5382" width="0.5703125" style="392" customWidth="1"/>
    <col min="5383" max="5629" width="8.85546875" style="392"/>
    <col min="5630" max="5630" width="13.28515625" style="392" customWidth="1"/>
    <col min="5631" max="5631" width="80.5703125" style="392" customWidth="1"/>
    <col min="5632" max="5632" width="6.28515625" style="392" customWidth="1"/>
    <col min="5633" max="5633" width="11.140625" style="392" customWidth="1"/>
    <col min="5634" max="5634" width="12.28515625" style="392" customWidth="1"/>
    <col min="5635" max="5635" width="3" style="392" customWidth="1"/>
    <col min="5636" max="5636" width="3.140625" style="392" customWidth="1"/>
    <col min="5637" max="5637" width="11.28515625" style="392" customWidth="1"/>
    <col min="5638" max="5638" width="0.5703125" style="392" customWidth="1"/>
    <col min="5639" max="5885" width="8.85546875" style="392"/>
    <col min="5886" max="5886" width="13.28515625" style="392" customWidth="1"/>
    <col min="5887" max="5887" width="80.5703125" style="392" customWidth="1"/>
    <col min="5888" max="5888" width="6.28515625" style="392" customWidth="1"/>
    <col min="5889" max="5889" width="11.140625" style="392" customWidth="1"/>
    <col min="5890" max="5890" width="12.28515625" style="392" customWidth="1"/>
    <col min="5891" max="5891" width="3" style="392" customWidth="1"/>
    <col min="5892" max="5892" width="3.140625" style="392" customWidth="1"/>
    <col min="5893" max="5893" width="11.28515625" style="392" customWidth="1"/>
    <col min="5894" max="5894" width="0.5703125" style="392" customWidth="1"/>
    <col min="5895" max="6141" width="8.85546875" style="392"/>
    <col min="6142" max="6142" width="13.28515625" style="392" customWidth="1"/>
    <col min="6143" max="6143" width="80.5703125" style="392" customWidth="1"/>
    <col min="6144" max="6144" width="6.28515625" style="392" customWidth="1"/>
    <col min="6145" max="6145" width="11.140625" style="392" customWidth="1"/>
    <col min="6146" max="6146" width="12.28515625" style="392" customWidth="1"/>
    <col min="6147" max="6147" width="3" style="392" customWidth="1"/>
    <col min="6148" max="6148" width="3.140625" style="392" customWidth="1"/>
    <col min="6149" max="6149" width="11.28515625" style="392" customWidth="1"/>
    <col min="6150" max="6150" width="0.5703125" style="392" customWidth="1"/>
    <col min="6151" max="6397" width="8.85546875" style="392"/>
    <col min="6398" max="6398" width="13.28515625" style="392" customWidth="1"/>
    <col min="6399" max="6399" width="80.5703125" style="392" customWidth="1"/>
    <col min="6400" max="6400" width="6.28515625" style="392" customWidth="1"/>
    <col min="6401" max="6401" width="11.140625" style="392" customWidth="1"/>
    <col min="6402" max="6402" width="12.28515625" style="392" customWidth="1"/>
    <col min="6403" max="6403" width="3" style="392" customWidth="1"/>
    <col min="6404" max="6404" width="3.140625" style="392" customWidth="1"/>
    <col min="6405" max="6405" width="11.28515625" style="392" customWidth="1"/>
    <col min="6406" max="6406" width="0.5703125" style="392" customWidth="1"/>
    <col min="6407" max="6653" width="8.85546875" style="392"/>
    <col min="6654" max="6654" width="13.28515625" style="392" customWidth="1"/>
    <col min="6655" max="6655" width="80.5703125" style="392" customWidth="1"/>
    <col min="6656" max="6656" width="6.28515625" style="392" customWidth="1"/>
    <col min="6657" max="6657" width="11.140625" style="392" customWidth="1"/>
    <col min="6658" max="6658" width="12.28515625" style="392" customWidth="1"/>
    <col min="6659" max="6659" width="3" style="392" customWidth="1"/>
    <col min="6660" max="6660" width="3.140625" style="392" customWidth="1"/>
    <col min="6661" max="6661" width="11.28515625" style="392" customWidth="1"/>
    <col min="6662" max="6662" width="0.5703125" style="392" customWidth="1"/>
    <col min="6663" max="6909" width="8.85546875" style="392"/>
    <col min="6910" max="6910" width="13.28515625" style="392" customWidth="1"/>
    <col min="6911" max="6911" width="80.5703125" style="392" customWidth="1"/>
    <col min="6912" max="6912" width="6.28515625" style="392" customWidth="1"/>
    <col min="6913" max="6913" width="11.140625" style="392" customWidth="1"/>
    <col min="6914" max="6914" width="12.28515625" style="392" customWidth="1"/>
    <col min="6915" max="6915" width="3" style="392" customWidth="1"/>
    <col min="6916" max="6916" width="3.140625" style="392" customWidth="1"/>
    <col min="6917" max="6917" width="11.28515625" style="392" customWidth="1"/>
    <col min="6918" max="6918" width="0.5703125" style="392" customWidth="1"/>
    <col min="6919" max="7165" width="8.85546875" style="392"/>
    <col min="7166" max="7166" width="13.28515625" style="392" customWidth="1"/>
    <col min="7167" max="7167" width="80.5703125" style="392" customWidth="1"/>
    <col min="7168" max="7168" width="6.28515625" style="392" customWidth="1"/>
    <col min="7169" max="7169" width="11.140625" style="392" customWidth="1"/>
    <col min="7170" max="7170" width="12.28515625" style="392" customWidth="1"/>
    <col min="7171" max="7171" width="3" style="392" customWidth="1"/>
    <col min="7172" max="7172" width="3.140625" style="392" customWidth="1"/>
    <col min="7173" max="7173" width="11.28515625" style="392" customWidth="1"/>
    <col min="7174" max="7174" width="0.5703125" style="392" customWidth="1"/>
    <col min="7175" max="7421" width="8.85546875" style="392"/>
    <col min="7422" max="7422" width="13.28515625" style="392" customWidth="1"/>
    <col min="7423" max="7423" width="80.5703125" style="392" customWidth="1"/>
    <col min="7424" max="7424" width="6.28515625" style="392" customWidth="1"/>
    <col min="7425" max="7425" width="11.140625" style="392" customWidth="1"/>
    <col min="7426" max="7426" width="12.28515625" style="392" customWidth="1"/>
    <col min="7427" max="7427" width="3" style="392" customWidth="1"/>
    <col min="7428" max="7428" width="3.140625" style="392" customWidth="1"/>
    <col min="7429" max="7429" width="11.28515625" style="392" customWidth="1"/>
    <col min="7430" max="7430" width="0.5703125" style="392" customWidth="1"/>
    <col min="7431" max="7677" width="8.85546875" style="392"/>
    <col min="7678" max="7678" width="13.28515625" style="392" customWidth="1"/>
    <col min="7679" max="7679" width="80.5703125" style="392" customWidth="1"/>
    <col min="7680" max="7680" width="6.28515625" style="392" customWidth="1"/>
    <col min="7681" max="7681" width="11.140625" style="392" customWidth="1"/>
    <col min="7682" max="7682" width="12.28515625" style="392" customWidth="1"/>
    <col min="7683" max="7683" width="3" style="392" customWidth="1"/>
    <col min="7684" max="7684" width="3.140625" style="392" customWidth="1"/>
    <col min="7685" max="7685" width="11.28515625" style="392" customWidth="1"/>
    <col min="7686" max="7686" width="0.5703125" style="392" customWidth="1"/>
    <col min="7687" max="7933" width="8.85546875" style="392"/>
    <col min="7934" max="7934" width="13.28515625" style="392" customWidth="1"/>
    <col min="7935" max="7935" width="80.5703125" style="392" customWidth="1"/>
    <col min="7936" max="7936" width="6.28515625" style="392" customWidth="1"/>
    <col min="7937" max="7937" width="11.140625" style="392" customWidth="1"/>
    <col min="7938" max="7938" width="12.28515625" style="392" customWidth="1"/>
    <col min="7939" max="7939" width="3" style="392" customWidth="1"/>
    <col min="7940" max="7940" width="3.140625" style="392" customWidth="1"/>
    <col min="7941" max="7941" width="11.28515625" style="392" customWidth="1"/>
    <col min="7942" max="7942" width="0.5703125" style="392" customWidth="1"/>
    <col min="7943" max="8189" width="8.85546875" style="392"/>
    <col min="8190" max="8190" width="13.28515625" style="392" customWidth="1"/>
    <col min="8191" max="8191" width="80.5703125" style="392" customWidth="1"/>
    <col min="8192" max="8192" width="6.28515625" style="392" customWidth="1"/>
    <col min="8193" max="8193" width="11.140625" style="392" customWidth="1"/>
    <col min="8194" max="8194" width="12.28515625" style="392" customWidth="1"/>
    <col min="8195" max="8195" width="3" style="392" customWidth="1"/>
    <col min="8196" max="8196" width="3.140625" style="392" customWidth="1"/>
    <col min="8197" max="8197" width="11.28515625" style="392" customWidth="1"/>
    <col min="8198" max="8198" width="0.5703125" style="392" customWidth="1"/>
    <col min="8199" max="8445" width="8.85546875" style="392"/>
    <col min="8446" max="8446" width="13.28515625" style="392" customWidth="1"/>
    <col min="8447" max="8447" width="80.5703125" style="392" customWidth="1"/>
    <col min="8448" max="8448" width="6.28515625" style="392" customWidth="1"/>
    <col min="8449" max="8449" width="11.140625" style="392" customWidth="1"/>
    <col min="8450" max="8450" width="12.28515625" style="392" customWidth="1"/>
    <col min="8451" max="8451" width="3" style="392" customWidth="1"/>
    <col min="8452" max="8452" width="3.140625" style="392" customWidth="1"/>
    <col min="8453" max="8453" width="11.28515625" style="392" customWidth="1"/>
    <col min="8454" max="8454" width="0.5703125" style="392" customWidth="1"/>
    <col min="8455" max="8701" width="8.85546875" style="392"/>
    <col min="8702" max="8702" width="13.28515625" style="392" customWidth="1"/>
    <col min="8703" max="8703" width="80.5703125" style="392" customWidth="1"/>
    <col min="8704" max="8704" width="6.28515625" style="392" customWidth="1"/>
    <col min="8705" max="8705" width="11.140625" style="392" customWidth="1"/>
    <col min="8706" max="8706" width="12.28515625" style="392" customWidth="1"/>
    <col min="8707" max="8707" width="3" style="392" customWidth="1"/>
    <col min="8708" max="8708" width="3.140625" style="392" customWidth="1"/>
    <col min="8709" max="8709" width="11.28515625" style="392" customWidth="1"/>
    <col min="8710" max="8710" width="0.5703125" style="392" customWidth="1"/>
    <col min="8711" max="8957" width="8.85546875" style="392"/>
    <col min="8958" max="8958" width="13.28515625" style="392" customWidth="1"/>
    <col min="8959" max="8959" width="80.5703125" style="392" customWidth="1"/>
    <col min="8960" max="8960" width="6.28515625" style="392" customWidth="1"/>
    <col min="8961" max="8961" width="11.140625" style="392" customWidth="1"/>
    <col min="8962" max="8962" width="12.28515625" style="392" customWidth="1"/>
    <col min="8963" max="8963" width="3" style="392" customWidth="1"/>
    <col min="8964" max="8964" width="3.140625" style="392" customWidth="1"/>
    <col min="8965" max="8965" width="11.28515625" style="392" customWidth="1"/>
    <col min="8966" max="8966" width="0.5703125" style="392" customWidth="1"/>
    <col min="8967" max="9213" width="8.85546875" style="392"/>
    <col min="9214" max="9214" width="13.28515625" style="392" customWidth="1"/>
    <col min="9215" max="9215" width="80.5703125" style="392" customWidth="1"/>
    <col min="9216" max="9216" width="6.28515625" style="392" customWidth="1"/>
    <col min="9217" max="9217" width="11.140625" style="392" customWidth="1"/>
    <col min="9218" max="9218" width="12.28515625" style="392" customWidth="1"/>
    <col min="9219" max="9219" width="3" style="392" customWidth="1"/>
    <col min="9220" max="9220" width="3.140625" style="392" customWidth="1"/>
    <col min="9221" max="9221" width="11.28515625" style="392" customWidth="1"/>
    <col min="9222" max="9222" width="0.5703125" style="392" customWidth="1"/>
    <col min="9223" max="9469" width="8.85546875" style="392"/>
    <col min="9470" max="9470" width="13.28515625" style="392" customWidth="1"/>
    <col min="9471" max="9471" width="80.5703125" style="392" customWidth="1"/>
    <col min="9472" max="9472" width="6.28515625" style="392" customWidth="1"/>
    <col min="9473" max="9473" width="11.140625" style="392" customWidth="1"/>
    <col min="9474" max="9474" width="12.28515625" style="392" customWidth="1"/>
    <col min="9475" max="9475" width="3" style="392" customWidth="1"/>
    <col min="9476" max="9476" width="3.140625" style="392" customWidth="1"/>
    <col min="9477" max="9477" width="11.28515625" style="392" customWidth="1"/>
    <col min="9478" max="9478" width="0.5703125" style="392" customWidth="1"/>
    <col min="9479" max="9725" width="8.85546875" style="392"/>
    <col min="9726" max="9726" width="13.28515625" style="392" customWidth="1"/>
    <col min="9727" max="9727" width="80.5703125" style="392" customWidth="1"/>
    <col min="9728" max="9728" width="6.28515625" style="392" customWidth="1"/>
    <col min="9729" max="9729" width="11.140625" style="392" customWidth="1"/>
    <col min="9730" max="9730" width="12.28515625" style="392" customWidth="1"/>
    <col min="9731" max="9731" width="3" style="392" customWidth="1"/>
    <col min="9732" max="9732" width="3.140625" style="392" customWidth="1"/>
    <col min="9733" max="9733" width="11.28515625" style="392" customWidth="1"/>
    <col min="9734" max="9734" width="0.5703125" style="392" customWidth="1"/>
    <col min="9735" max="9981" width="8.85546875" style="392"/>
    <col min="9982" max="9982" width="13.28515625" style="392" customWidth="1"/>
    <col min="9983" max="9983" width="80.5703125" style="392" customWidth="1"/>
    <col min="9984" max="9984" width="6.28515625" style="392" customWidth="1"/>
    <col min="9985" max="9985" width="11.140625" style="392" customWidth="1"/>
    <col min="9986" max="9986" width="12.28515625" style="392" customWidth="1"/>
    <col min="9987" max="9987" width="3" style="392" customWidth="1"/>
    <col min="9988" max="9988" width="3.140625" style="392" customWidth="1"/>
    <col min="9989" max="9989" width="11.28515625" style="392" customWidth="1"/>
    <col min="9990" max="9990" width="0.5703125" style="392" customWidth="1"/>
    <col min="9991" max="10237" width="8.85546875" style="392"/>
    <col min="10238" max="10238" width="13.28515625" style="392" customWidth="1"/>
    <col min="10239" max="10239" width="80.5703125" style="392" customWidth="1"/>
    <col min="10240" max="10240" width="6.28515625" style="392" customWidth="1"/>
    <col min="10241" max="10241" width="11.140625" style="392" customWidth="1"/>
    <col min="10242" max="10242" width="12.28515625" style="392" customWidth="1"/>
    <col min="10243" max="10243" width="3" style="392" customWidth="1"/>
    <col min="10244" max="10244" width="3.140625" style="392" customWidth="1"/>
    <col min="10245" max="10245" width="11.28515625" style="392" customWidth="1"/>
    <col min="10246" max="10246" width="0.5703125" style="392" customWidth="1"/>
    <col min="10247" max="10493" width="8.85546875" style="392"/>
    <col min="10494" max="10494" width="13.28515625" style="392" customWidth="1"/>
    <col min="10495" max="10495" width="80.5703125" style="392" customWidth="1"/>
    <col min="10496" max="10496" width="6.28515625" style="392" customWidth="1"/>
    <col min="10497" max="10497" width="11.140625" style="392" customWidth="1"/>
    <col min="10498" max="10498" width="12.28515625" style="392" customWidth="1"/>
    <col min="10499" max="10499" width="3" style="392" customWidth="1"/>
    <col min="10500" max="10500" width="3.140625" style="392" customWidth="1"/>
    <col min="10501" max="10501" width="11.28515625" style="392" customWidth="1"/>
    <col min="10502" max="10502" width="0.5703125" style="392" customWidth="1"/>
    <col min="10503" max="10749" width="8.85546875" style="392"/>
    <col min="10750" max="10750" width="13.28515625" style="392" customWidth="1"/>
    <col min="10751" max="10751" width="80.5703125" style="392" customWidth="1"/>
    <col min="10752" max="10752" width="6.28515625" style="392" customWidth="1"/>
    <col min="10753" max="10753" width="11.140625" style="392" customWidth="1"/>
    <col min="10754" max="10754" width="12.28515625" style="392" customWidth="1"/>
    <col min="10755" max="10755" width="3" style="392" customWidth="1"/>
    <col min="10756" max="10756" width="3.140625" style="392" customWidth="1"/>
    <col min="10757" max="10757" width="11.28515625" style="392" customWidth="1"/>
    <col min="10758" max="10758" width="0.5703125" style="392" customWidth="1"/>
    <col min="10759" max="11005" width="8.85546875" style="392"/>
    <col min="11006" max="11006" width="13.28515625" style="392" customWidth="1"/>
    <col min="11007" max="11007" width="80.5703125" style="392" customWidth="1"/>
    <col min="11008" max="11008" width="6.28515625" style="392" customWidth="1"/>
    <col min="11009" max="11009" width="11.140625" style="392" customWidth="1"/>
    <col min="11010" max="11010" width="12.28515625" style="392" customWidth="1"/>
    <col min="11011" max="11011" width="3" style="392" customWidth="1"/>
    <col min="11012" max="11012" width="3.140625" style="392" customWidth="1"/>
    <col min="11013" max="11013" width="11.28515625" style="392" customWidth="1"/>
    <col min="11014" max="11014" width="0.5703125" style="392" customWidth="1"/>
    <col min="11015" max="11261" width="8.85546875" style="392"/>
    <col min="11262" max="11262" width="13.28515625" style="392" customWidth="1"/>
    <col min="11263" max="11263" width="80.5703125" style="392" customWidth="1"/>
    <col min="11264" max="11264" width="6.28515625" style="392" customWidth="1"/>
    <col min="11265" max="11265" width="11.140625" style="392" customWidth="1"/>
    <col min="11266" max="11266" width="12.28515625" style="392" customWidth="1"/>
    <col min="11267" max="11267" width="3" style="392" customWidth="1"/>
    <col min="11268" max="11268" width="3.140625" style="392" customWidth="1"/>
    <col min="11269" max="11269" width="11.28515625" style="392" customWidth="1"/>
    <col min="11270" max="11270" width="0.5703125" style="392" customWidth="1"/>
    <col min="11271" max="11517" width="8.85546875" style="392"/>
    <col min="11518" max="11518" width="13.28515625" style="392" customWidth="1"/>
    <col min="11519" max="11519" width="80.5703125" style="392" customWidth="1"/>
    <col min="11520" max="11520" width="6.28515625" style="392" customWidth="1"/>
    <col min="11521" max="11521" width="11.140625" style="392" customWidth="1"/>
    <col min="11522" max="11522" width="12.28515625" style="392" customWidth="1"/>
    <col min="11523" max="11523" width="3" style="392" customWidth="1"/>
    <col min="11524" max="11524" width="3.140625" style="392" customWidth="1"/>
    <col min="11525" max="11525" width="11.28515625" style="392" customWidth="1"/>
    <col min="11526" max="11526" width="0.5703125" style="392" customWidth="1"/>
    <col min="11527" max="11773" width="8.85546875" style="392"/>
    <col min="11774" max="11774" width="13.28515625" style="392" customWidth="1"/>
    <col min="11775" max="11775" width="80.5703125" style="392" customWidth="1"/>
    <col min="11776" max="11776" width="6.28515625" style="392" customWidth="1"/>
    <col min="11777" max="11777" width="11.140625" style="392" customWidth="1"/>
    <col min="11778" max="11778" width="12.28515625" style="392" customWidth="1"/>
    <col min="11779" max="11779" width="3" style="392" customWidth="1"/>
    <col min="11780" max="11780" width="3.140625" style="392" customWidth="1"/>
    <col min="11781" max="11781" width="11.28515625" style="392" customWidth="1"/>
    <col min="11782" max="11782" width="0.5703125" style="392" customWidth="1"/>
    <col min="11783" max="12029" width="8.85546875" style="392"/>
    <col min="12030" max="12030" width="13.28515625" style="392" customWidth="1"/>
    <col min="12031" max="12031" width="80.5703125" style="392" customWidth="1"/>
    <col min="12032" max="12032" width="6.28515625" style="392" customWidth="1"/>
    <col min="12033" max="12033" width="11.140625" style="392" customWidth="1"/>
    <col min="12034" max="12034" width="12.28515625" style="392" customWidth="1"/>
    <col min="12035" max="12035" width="3" style="392" customWidth="1"/>
    <col min="12036" max="12036" width="3.140625" style="392" customWidth="1"/>
    <col min="12037" max="12037" width="11.28515625" style="392" customWidth="1"/>
    <col min="12038" max="12038" width="0.5703125" style="392" customWidth="1"/>
    <col min="12039" max="12285" width="8.85546875" style="392"/>
    <col min="12286" max="12286" width="13.28515625" style="392" customWidth="1"/>
    <col min="12287" max="12287" width="80.5703125" style="392" customWidth="1"/>
    <col min="12288" max="12288" width="6.28515625" style="392" customWidth="1"/>
    <col min="12289" max="12289" width="11.140625" style="392" customWidth="1"/>
    <col min="12290" max="12290" width="12.28515625" style="392" customWidth="1"/>
    <col min="12291" max="12291" width="3" style="392" customWidth="1"/>
    <col min="12292" max="12292" width="3.140625" style="392" customWidth="1"/>
    <col min="12293" max="12293" width="11.28515625" style="392" customWidth="1"/>
    <col min="12294" max="12294" width="0.5703125" style="392" customWidth="1"/>
    <col min="12295" max="12541" width="8.85546875" style="392"/>
    <col min="12542" max="12542" width="13.28515625" style="392" customWidth="1"/>
    <col min="12543" max="12543" width="80.5703125" style="392" customWidth="1"/>
    <col min="12544" max="12544" width="6.28515625" style="392" customWidth="1"/>
    <col min="12545" max="12545" width="11.140625" style="392" customWidth="1"/>
    <col min="12546" max="12546" width="12.28515625" style="392" customWidth="1"/>
    <col min="12547" max="12547" width="3" style="392" customWidth="1"/>
    <col min="12548" max="12548" width="3.140625" style="392" customWidth="1"/>
    <col min="12549" max="12549" width="11.28515625" style="392" customWidth="1"/>
    <col min="12550" max="12550" width="0.5703125" style="392" customWidth="1"/>
    <col min="12551" max="12797" width="8.85546875" style="392"/>
    <col min="12798" max="12798" width="13.28515625" style="392" customWidth="1"/>
    <col min="12799" max="12799" width="80.5703125" style="392" customWidth="1"/>
    <col min="12800" max="12800" width="6.28515625" style="392" customWidth="1"/>
    <col min="12801" max="12801" width="11.140625" style="392" customWidth="1"/>
    <col min="12802" max="12802" width="12.28515625" style="392" customWidth="1"/>
    <col min="12803" max="12803" width="3" style="392" customWidth="1"/>
    <col min="12804" max="12804" width="3.140625" style="392" customWidth="1"/>
    <col min="12805" max="12805" width="11.28515625" style="392" customWidth="1"/>
    <col min="12806" max="12806" width="0.5703125" style="392" customWidth="1"/>
    <col min="12807" max="13053" width="8.85546875" style="392"/>
    <col min="13054" max="13054" width="13.28515625" style="392" customWidth="1"/>
    <col min="13055" max="13055" width="80.5703125" style="392" customWidth="1"/>
    <col min="13056" max="13056" width="6.28515625" style="392" customWidth="1"/>
    <col min="13057" max="13057" width="11.140625" style="392" customWidth="1"/>
    <col min="13058" max="13058" width="12.28515625" style="392" customWidth="1"/>
    <col min="13059" max="13059" width="3" style="392" customWidth="1"/>
    <col min="13060" max="13060" width="3.140625" style="392" customWidth="1"/>
    <col min="13061" max="13061" width="11.28515625" style="392" customWidth="1"/>
    <col min="13062" max="13062" width="0.5703125" style="392" customWidth="1"/>
    <col min="13063" max="13309" width="8.85546875" style="392"/>
    <col min="13310" max="13310" width="13.28515625" style="392" customWidth="1"/>
    <col min="13311" max="13311" width="80.5703125" style="392" customWidth="1"/>
    <col min="13312" max="13312" width="6.28515625" style="392" customWidth="1"/>
    <col min="13313" max="13313" width="11.140625" style="392" customWidth="1"/>
    <col min="13314" max="13314" width="12.28515625" style="392" customWidth="1"/>
    <col min="13315" max="13315" width="3" style="392" customWidth="1"/>
    <col min="13316" max="13316" width="3.140625" style="392" customWidth="1"/>
    <col min="13317" max="13317" width="11.28515625" style="392" customWidth="1"/>
    <col min="13318" max="13318" width="0.5703125" style="392" customWidth="1"/>
    <col min="13319" max="13565" width="8.85546875" style="392"/>
    <col min="13566" max="13566" width="13.28515625" style="392" customWidth="1"/>
    <col min="13567" max="13567" width="80.5703125" style="392" customWidth="1"/>
    <col min="13568" max="13568" width="6.28515625" style="392" customWidth="1"/>
    <col min="13569" max="13569" width="11.140625" style="392" customWidth="1"/>
    <col min="13570" max="13570" width="12.28515625" style="392" customWidth="1"/>
    <col min="13571" max="13571" width="3" style="392" customWidth="1"/>
    <col min="13572" max="13572" width="3.140625" style="392" customWidth="1"/>
    <col min="13573" max="13573" width="11.28515625" style="392" customWidth="1"/>
    <col min="13574" max="13574" width="0.5703125" style="392" customWidth="1"/>
    <col min="13575" max="13821" width="8.85546875" style="392"/>
    <col min="13822" max="13822" width="13.28515625" style="392" customWidth="1"/>
    <col min="13823" max="13823" width="80.5703125" style="392" customWidth="1"/>
    <col min="13824" max="13824" width="6.28515625" style="392" customWidth="1"/>
    <col min="13825" max="13825" width="11.140625" style="392" customWidth="1"/>
    <col min="13826" max="13826" width="12.28515625" style="392" customWidth="1"/>
    <col min="13827" max="13827" width="3" style="392" customWidth="1"/>
    <col min="13828" max="13828" width="3.140625" style="392" customWidth="1"/>
    <col min="13829" max="13829" width="11.28515625" style="392" customWidth="1"/>
    <col min="13830" max="13830" width="0.5703125" style="392" customWidth="1"/>
    <col min="13831" max="14077" width="8.85546875" style="392"/>
    <col min="14078" max="14078" width="13.28515625" style="392" customWidth="1"/>
    <col min="14079" max="14079" width="80.5703125" style="392" customWidth="1"/>
    <col min="14080" max="14080" width="6.28515625" style="392" customWidth="1"/>
    <col min="14081" max="14081" width="11.140625" style="392" customWidth="1"/>
    <col min="14082" max="14082" width="12.28515625" style="392" customWidth="1"/>
    <col min="14083" max="14083" width="3" style="392" customWidth="1"/>
    <col min="14084" max="14084" width="3.140625" style="392" customWidth="1"/>
    <col min="14085" max="14085" width="11.28515625" style="392" customWidth="1"/>
    <col min="14086" max="14086" width="0.5703125" style="392" customWidth="1"/>
    <col min="14087" max="14333" width="8.85546875" style="392"/>
    <col min="14334" max="14334" width="13.28515625" style="392" customWidth="1"/>
    <col min="14335" max="14335" width="80.5703125" style="392" customWidth="1"/>
    <col min="14336" max="14336" width="6.28515625" style="392" customWidth="1"/>
    <col min="14337" max="14337" width="11.140625" style="392" customWidth="1"/>
    <col min="14338" max="14338" width="12.28515625" style="392" customWidth="1"/>
    <col min="14339" max="14339" width="3" style="392" customWidth="1"/>
    <col min="14340" max="14340" width="3.140625" style="392" customWidth="1"/>
    <col min="14341" max="14341" width="11.28515625" style="392" customWidth="1"/>
    <col min="14342" max="14342" width="0.5703125" style="392" customWidth="1"/>
    <col min="14343" max="14589" width="8.85546875" style="392"/>
    <col min="14590" max="14590" width="13.28515625" style="392" customWidth="1"/>
    <col min="14591" max="14591" width="80.5703125" style="392" customWidth="1"/>
    <col min="14592" max="14592" width="6.28515625" style="392" customWidth="1"/>
    <col min="14593" max="14593" width="11.140625" style="392" customWidth="1"/>
    <col min="14594" max="14594" width="12.28515625" style="392" customWidth="1"/>
    <col min="14595" max="14595" width="3" style="392" customWidth="1"/>
    <col min="14596" max="14596" width="3.140625" style="392" customWidth="1"/>
    <col min="14597" max="14597" width="11.28515625" style="392" customWidth="1"/>
    <col min="14598" max="14598" width="0.5703125" style="392" customWidth="1"/>
    <col min="14599" max="14845" width="8.85546875" style="392"/>
    <col min="14846" max="14846" width="13.28515625" style="392" customWidth="1"/>
    <col min="14847" max="14847" width="80.5703125" style="392" customWidth="1"/>
    <col min="14848" max="14848" width="6.28515625" style="392" customWidth="1"/>
    <col min="14849" max="14849" width="11.140625" style="392" customWidth="1"/>
    <col min="14850" max="14850" width="12.28515625" style="392" customWidth="1"/>
    <col min="14851" max="14851" width="3" style="392" customWidth="1"/>
    <col min="14852" max="14852" width="3.140625" style="392" customWidth="1"/>
    <col min="14853" max="14853" width="11.28515625" style="392" customWidth="1"/>
    <col min="14854" max="14854" width="0.5703125" style="392" customWidth="1"/>
    <col min="14855" max="15101" width="8.85546875" style="392"/>
    <col min="15102" max="15102" width="13.28515625" style="392" customWidth="1"/>
    <col min="15103" max="15103" width="80.5703125" style="392" customWidth="1"/>
    <col min="15104" max="15104" width="6.28515625" style="392" customWidth="1"/>
    <col min="15105" max="15105" width="11.140625" style="392" customWidth="1"/>
    <col min="15106" max="15106" width="12.28515625" style="392" customWidth="1"/>
    <col min="15107" max="15107" width="3" style="392" customWidth="1"/>
    <col min="15108" max="15108" width="3.140625" style="392" customWidth="1"/>
    <col min="15109" max="15109" width="11.28515625" style="392" customWidth="1"/>
    <col min="15110" max="15110" width="0.5703125" style="392" customWidth="1"/>
    <col min="15111" max="15357" width="8.85546875" style="392"/>
    <col min="15358" max="15358" width="13.28515625" style="392" customWidth="1"/>
    <col min="15359" max="15359" width="80.5703125" style="392" customWidth="1"/>
    <col min="15360" max="15360" width="6.28515625" style="392" customWidth="1"/>
    <col min="15361" max="15361" width="11.140625" style="392" customWidth="1"/>
    <col min="15362" max="15362" width="12.28515625" style="392" customWidth="1"/>
    <col min="15363" max="15363" width="3" style="392" customWidth="1"/>
    <col min="15364" max="15364" width="3.140625" style="392" customWidth="1"/>
    <col min="15365" max="15365" width="11.28515625" style="392" customWidth="1"/>
    <col min="15366" max="15366" width="0.5703125" style="392" customWidth="1"/>
    <col min="15367" max="15613" width="8.85546875" style="392"/>
    <col min="15614" max="15614" width="13.28515625" style="392" customWidth="1"/>
    <col min="15615" max="15615" width="80.5703125" style="392" customWidth="1"/>
    <col min="15616" max="15616" width="6.28515625" style="392" customWidth="1"/>
    <col min="15617" max="15617" width="11.140625" style="392" customWidth="1"/>
    <col min="15618" max="15618" width="12.28515625" style="392" customWidth="1"/>
    <col min="15619" max="15619" width="3" style="392" customWidth="1"/>
    <col min="15620" max="15620" width="3.140625" style="392" customWidth="1"/>
    <col min="15621" max="15621" width="11.28515625" style="392" customWidth="1"/>
    <col min="15622" max="15622" width="0.5703125" style="392" customWidth="1"/>
    <col min="15623" max="15869" width="8.85546875" style="392"/>
    <col min="15870" max="15870" width="13.28515625" style="392" customWidth="1"/>
    <col min="15871" max="15871" width="80.5703125" style="392" customWidth="1"/>
    <col min="15872" max="15872" width="6.28515625" style="392" customWidth="1"/>
    <col min="15873" max="15873" width="11.140625" style="392" customWidth="1"/>
    <col min="15874" max="15874" width="12.28515625" style="392" customWidth="1"/>
    <col min="15875" max="15875" width="3" style="392" customWidth="1"/>
    <col min="15876" max="15876" width="3.140625" style="392" customWidth="1"/>
    <col min="15877" max="15877" width="11.28515625" style="392" customWidth="1"/>
    <col min="15878" max="15878" width="0.5703125" style="392" customWidth="1"/>
    <col min="15879" max="16125" width="8.85546875" style="392"/>
    <col min="16126" max="16126" width="13.28515625" style="392" customWidth="1"/>
    <col min="16127" max="16127" width="80.5703125" style="392" customWidth="1"/>
    <col min="16128" max="16128" width="6.28515625" style="392" customWidth="1"/>
    <col min="16129" max="16129" width="11.140625" style="392" customWidth="1"/>
    <col min="16130" max="16130" width="12.28515625" style="392" customWidth="1"/>
    <col min="16131" max="16131" width="3" style="392" customWidth="1"/>
    <col min="16132" max="16132" width="3.140625" style="392" customWidth="1"/>
    <col min="16133" max="16133" width="11.28515625" style="392" customWidth="1"/>
    <col min="16134" max="16134" width="0.5703125" style="392" customWidth="1"/>
    <col min="16135" max="16381" width="8.85546875" style="392"/>
    <col min="16382" max="16384" width="8.85546875" style="392" customWidth="1"/>
  </cols>
  <sheetData>
    <row r="1" spans="1:10" ht="39.950000000000003" customHeight="1" x14ac:dyDescent="0.2">
      <c r="A1" s="481" t="s">
        <v>376</v>
      </c>
      <c r="B1" s="481"/>
      <c r="C1" s="481"/>
      <c r="D1" s="481"/>
    </row>
    <row r="2" spans="1:10" ht="17.45" customHeight="1" x14ac:dyDescent="0.2"/>
    <row r="3" spans="1:10" ht="16.7" customHeight="1" x14ac:dyDescent="0.2">
      <c r="A3" s="431" t="s">
        <v>377</v>
      </c>
      <c r="B3" s="482" t="s">
        <v>384</v>
      </c>
      <c r="C3" s="482"/>
      <c r="D3" s="482"/>
    </row>
    <row r="4" spans="1:10" ht="17.45" customHeight="1" x14ac:dyDescent="0.2">
      <c r="A4" s="431" t="s">
        <v>1</v>
      </c>
      <c r="B4" s="431" t="s">
        <v>378</v>
      </c>
      <c r="C4" s="381" t="s">
        <v>379</v>
      </c>
      <c r="D4" s="382" t="s">
        <v>3</v>
      </c>
      <c r="E4" s="428" t="s">
        <v>590</v>
      </c>
      <c r="F4" s="428" t="s">
        <v>591</v>
      </c>
      <c r="G4" s="428" t="s">
        <v>592</v>
      </c>
    </row>
    <row r="5" spans="1:10" ht="17.100000000000001" customHeight="1" x14ac:dyDescent="0.2">
      <c r="A5" s="406" t="s">
        <v>577</v>
      </c>
      <c r="B5" s="383" t="s">
        <v>380</v>
      </c>
      <c r="C5" s="384" t="s">
        <v>330</v>
      </c>
      <c r="D5" s="385">
        <v>1</v>
      </c>
    </row>
    <row r="6" spans="1:10" ht="17.100000000000001" customHeight="1" x14ac:dyDescent="0.2">
      <c r="A6" s="406" t="s">
        <v>578</v>
      </c>
      <c r="B6" s="383" t="s">
        <v>385</v>
      </c>
      <c r="C6" s="384" t="s">
        <v>330</v>
      </c>
      <c r="D6" s="385">
        <v>1</v>
      </c>
    </row>
    <row r="7" spans="1:10" ht="17.100000000000001" customHeight="1" x14ac:dyDescent="0.2">
      <c r="A7" s="406" t="s">
        <v>579</v>
      </c>
      <c r="B7" s="383" t="s">
        <v>386</v>
      </c>
      <c r="C7" s="384" t="s">
        <v>330</v>
      </c>
      <c r="D7" s="385">
        <v>1</v>
      </c>
    </row>
    <row r="8" spans="1:10" ht="17.100000000000001" customHeight="1" x14ac:dyDescent="0.2">
      <c r="A8" s="407"/>
      <c r="B8" s="383" t="s">
        <v>381</v>
      </c>
      <c r="C8" s="408"/>
      <c r="D8" s="385"/>
      <c r="H8" s="392">
        <f>SUM(H9:H19)</f>
        <v>38.720577319563425</v>
      </c>
      <c r="J8" s="392">
        <f>H8/22</f>
        <v>1.7600262417983374</v>
      </c>
    </row>
    <row r="9" spans="1:10" ht="17.100000000000001" customHeight="1" x14ac:dyDescent="0.2">
      <c r="A9" s="406">
        <v>4011480</v>
      </c>
      <c r="B9" s="436" t="s">
        <v>728</v>
      </c>
      <c r="C9" s="384" t="s">
        <v>332</v>
      </c>
      <c r="D9" s="385">
        <v>445</v>
      </c>
      <c r="E9" s="392">
        <v>49.2</v>
      </c>
      <c r="F9" s="392">
        <v>8</v>
      </c>
      <c r="G9" s="392">
        <v>22</v>
      </c>
      <c r="H9" s="392">
        <f>D9/(E9*F9*22)</f>
        <v>5.1390428677014037E-2</v>
      </c>
    </row>
    <row r="10" spans="1:10" ht="17.100000000000001" customHeight="1" x14ac:dyDescent="0.2">
      <c r="A10" s="406" t="s">
        <v>646</v>
      </c>
      <c r="B10" s="436" t="s">
        <v>647</v>
      </c>
      <c r="C10" s="384" t="s">
        <v>332</v>
      </c>
      <c r="D10" s="385">
        <v>240</v>
      </c>
      <c r="E10" s="392">
        <v>99.6</v>
      </c>
      <c r="F10" s="392">
        <v>8</v>
      </c>
      <c r="G10" s="392">
        <v>22</v>
      </c>
      <c r="H10" s="392">
        <f>D10/(E10*F10*22)</f>
        <v>1.3691128148959475E-2</v>
      </c>
    </row>
    <row r="11" spans="1:10" ht="17.100000000000001" customHeight="1" x14ac:dyDescent="0.2">
      <c r="A11" s="406" t="s">
        <v>648</v>
      </c>
      <c r="B11" s="383" t="s">
        <v>587</v>
      </c>
      <c r="C11" s="384" t="s">
        <v>332</v>
      </c>
      <c r="D11" s="385">
        <v>38</v>
      </c>
      <c r="E11" s="392">
        <v>76.5</v>
      </c>
      <c r="F11" s="392">
        <v>8</v>
      </c>
      <c r="G11" s="392">
        <v>22</v>
      </c>
      <c r="H11" s="392">
        <f t="shared" ref="H11:H16" si="0">D11/(E11*F11*22)</f>
        <v>2.8223410576351752E-3</v>
      </c>
    </row>
    <row r="12" spans="1:10" ht="17.100000000000001" customHeight="1" x14ac:dyDescent="0.2">
      <c r="A12" s="406" t="s">
        <v>649</v>
      </c>
      <c r="B12" s="383" t="s">
        <v>639</v>
      </c>
      <c r="C12" s="384" t="s">
        <v>332</v>
      </c>
      <c r="D12" s="385">
        <v>1875</v>
      </c>
      <c r="E12" s="392">
        <v>228.21</v>
      </c>
      <c r="F12" s="392">
        <v>8</v>
      </c>
      <c r="G12" s="392">
        <v>22</v>
      </c>
      <c r="H12" s="392">
        <f t="shared" si="0"/>
        <v>4.6682481446514573E-2</v>
      </c>
    </row>
    <row r="13" spans="1:10" ht="17.100000000000001" customHeight="1" x14ac:dyDescent="0.2">
      <c r="A13" s="406" t="s">
        <v>650</v>
      </c>
      <c r="B13" s="436" t="s">
        <v>651</v>
      </c>
      <c r="C13" s="384" t="s">
        <v>332</v>
      </c>
      <c r="D13" s="385">
        <v>2625</v>
      </c>
      <c r="E13" s="392">
        <v>0.4</v>
      </c>
      <c r="F13" s="392">
        <v>8</v>
      </c>
      <c r="G13" s="392">
        <v>22</v>
      </c>
      <c r="H13" s="392">
        <f t="shared" si="0"/>
        <v>37.286931818181813</v>
      </c>
    </row>
    <row r="14" spans="1:10" ht="17.100000000000001" customHeight="1" x14ac:dyDescent="0.2">
      <c r="A14" s="406" t="s">
        <v>652</v>
      </c>
      <c r="B14" s="436" t="s">
        <v>566</v>
      </c>
      <c r="C14" s="384" t="s">
        <v>329</v>
      </c>
      <c r="D14" s="385">
        <v>7500</v>
      </c>
      <c r="E14" s="392">
        <v>1121.33</v>
      </c>
      <c r="F14" s="392">
        <v>8</v>
      </c>
      <c r="G14" s="392">
        <v>22</v>
      </c>
      <c r="H14" s="392">
        <f t="shared" si="0"/>
        <v>3.8002761331308685E-2</v>
      </c>
    </row>
    <row r="15" spans="1:10" ht="17.100000000000001" customHeight="1" x14ac:dyDescent="0.2">
      <c r="A15" s="406" t="s">
        <v>653</v>
      </c>
      <c r="B15" s="436" t="s">
        <v>638</v>
      </c>
      <c r="C15" s="384" t="s">
        <v>332</v>
      </c>
      <c r="D15" s="385">
        <v>2625</v>
      </c>
      <c r="E15" s="392">
        <v>84.62</v>
      </c>
      <c r="F15" s="392">
        <v>8</v>
      </c>
      <c r="G15" s="392">
        <v>22</v>
      </c>
      <c r="H15" s="392">
        <f t="shared" si="0"/>
        <v>0.17625588191057345</v>
      </c>
    </row>
    <row r="16" spans="1:10" ht="17.100000000000001" customHeight="1" x14ac:dyDescent="0.2">
      <c r="A16" s="406" t="s">
        <v>654</v>
      </c>
      <c r="B16" s="436" t="s">
        <v>655</v>
      </c>
      <c r="C16" s="384" t="s">
        <v>332</v>
      </c>
      <c r="D16" s="385">
        <v>1875</v>
      </c>
      <c r="E16" s="392">
        <v>113.18</v>
      </c>
      <c r="F16" s="392">
        <v>8</v>
      </c>
      <c r="G16" s="392">
        <v>22</v>
      </c>
      <c r="H16" s="392">
        <f t="shared" si="0"/>
        <v>9.4128018120773024E-2</v>
      </c>
    </row>
    <row r="17" spans="1:8" ht="17.100000000000001" customHeight="1" x14ac:dyDescent="0.2">
      <c r="A17" s="406" t="s">
        <v>656</v>
      </c>
      <c r="B17" s="436" t="s">
        <v>580</v>
      </c>
      <c r="C17" s="384" t="s">
        <v>329</v>
      </c>
      <c r="D17" s="385">
        <v>7500</v>
      </c>
      <c r="E17" s="392">
        <v>1038.46</v>
      </c>
      <c r="F17" s="392">
        <v>8</v>
      </c>
      <c r="G17" s="392">
        <v>22</v>
      </c>
      <c r="H17" s="392">
        <f>D17/(E17*F17*22)</f>
        <v>4.1035414328559942E-2</v>
      </c>
    </row>
    <row r="18" spans="1:8" ht="17.100000000000001" customHeight="1" x14ac:dyDescent="0.2">
      <c r="A18" s="409" t="s">
        <v>657</v>
      </c>
      <c r="B18" s="436" t="s">
        <v>371</v>
      </c>
      <c r="C18" s="410" t="s">
        <v>329</v>
      </c>
      <c r="D18" s="385">
        <v>118487</v>
      </c>
      <c r="E18" s="392">
        <v>1500</v>
      </c>
      <c r="F18" s="392">
        <v>8</v>
      </c>
      <c r="G18" s="392">
        <v>22</v>
      </c>
      <c r="H18" s="392">
        <f>D18/(E18*F18*22)</f>
        <v>0.44881439393939393</v>
      </c>
    </row>
    <row r="19" spans="1:8" ht="17.100000000000001" customHeight="1" x14ac:dyDescent="0.2">
      <c r="A19" s="406" t="s">
        <v>658</v>
      </c>
      <c r="B19" s="436" t="s">
        <v>659</v>
      </c>
      <c r="C19" s="384" t="s">
        <v>344</v>
      </c>
      <c r="D19" s="385">
        <v>8127</v>
      </c>
      <c r="E19" s="392">
        <v>88.66</v>
      </c>
      <c r="F19" s="392">
        <v>8</v>
      </c>
      <c r="G19" s="392">
        <v>22</v>
      </c>
      <c r="H19" s="392">
        <f>D19/(E19*F19*22)</f>
        <v>0.52082265242089287</v>
      </c>
    </row>
    <row r="20" spans="1:8" ht="17.100000000000001" customHeight="1" x14ac:dyDescent="0.2">
      <c r="A20" s="406">
        <v>4011410</v>
      </c>
      <c r="B20" s="436" t="s">
        <v>729</v>
      </c>
      <c r="C20" s="410" t="s">
        <v>329</v>
      </c>
      <c r="D20" s="385">
        <v>42450</v>
      </c>
      <c r="E20" s="392">
        <v>664</v>
      </c>
      <c r="F20" s="392">
        <v>8</v>
      </c>
      <c r="G20" s="392">
        <v>22</v>
      </c>
      <c r="H20" s="392">
        <f>D20/(E20*F20*22)</f>
        <v>0.36324274370208104</v>
      </c>
    </row>
    <row r="21" spans="1:8" ht="17.100000000000001" customHeight="1" x14ac:dyDescent="0.2">
      <c r="A21" s="406" t="s">
        <v>581</v>
      </c>
      <c r="B21" s="383" t="s">
        <v>640</v>
      </c>
      <c r="C21" s="384" t="s">
        <v>344</v>
      </c>
      <c r="D21" s="385">
        <v>9.8000000000000007</v>
      </c>
    </row>
    <row r="22" spans="1:8" ht="17.100000000000001" customHeight="1" x14ac:dyDescent="0.2">
      <c r="A22" s="406" t="s">
        <v>582</v>
      </c>
      <c r="B22" s="383" t="s">
        <v>660</v>
      </c>
      <c r="C22" s="384" t="s">
        <v>344</v>
      </c>
      <c r="D22" s="385">
        <v>63.1</v>
      </c>
    </row>
    <row r="23" spans="1:8" ht="17.100000000000001" customHeight="1" x14ac:dyDescent="0.2">
      <c r="A23" s="406" t="s">
        <v>583</v>
      </c>
      <c r="B23" s="383" t="s">
        <v>661</v>
      </c>
      <c r="C23" s="384" t="s">
        <v>344</v>
      </c>
      <c r="D23" s="385">
        <v>566.20000000000005</v>
      </c>
    </row>
    <row r="24" spans="1:8" ht="17.100000000000001" customHeight="1" x14ac:dyDescent="0.2">
      <c r="A24" s="409" t="s">
        <v>662</v>
      </c>
      <c r="B24" s="383" t="s">
        <v>663</v>
      </c>
      <c r="C24" s="410"/>
      <c r="D24" s="385"/>
    </row>
    <row r="25" spans="1:8" ht="17.100000000000001" customHeight="1" x14ac:dyDescent="0.2">
      <c r="A25" s="406" t="s">
        <v>664</v>
      </c>
      <c r="B25" s="383" t="s">
        <v>665</v>
      </c>
      <c r="C25" s="384" t="s">
        <v>329</v>
      </c>
      <c r="D25" s="385">
        <v>34.6</v>
      </c>
    </row>
    <row r="26" spans="1:8" ht="17.100000000000001" customHeight="1" x14ac:dyDescent="0.2">
      <c r="A26" s="406" t="s">
        <v>666</v>
      </c>
      <c r="B26" s="383" t="s">
        <v>667</v>
      </c>
      <c r="C26" s="384" t="s">
        <v>668</v>
      </c>
      <c r="D26" s="385">
        <v>5</v>
      </c>
    </row>
    <row r="27" spans="1:8" ht="17.100000000000001" customHeight="1" x14ac:dyDescent="0.2">
      <c r="A27" s="406" t="s">
        <v>669</v>
      </c>
      <c r="B27" s="383" t="s">
        <v>670</v>
      </c>
      <c r="C27" s="384" t="s">
        <v>332</v>
      </c>
      <c r="D27" s="385">
        <v>41.33</v>
      </c>
    </row>
    <row r="28" spans="1:8" ht="17.100000000000001" customHeight="1" x14ac:dyDescent="0.2">
      <c r="A28" s="409" t="s">
        <v>671</v>
      </c>
      <c r="B28" s="383" t="s">
        <v>642</v>
      </c>
      <c r="C28" s="410" t="s">
        <v>332</v>
      </c>
      <c r="D28" s="385">
        <v>159.34</v>
      </c>
    </row>
    <row r="29" spans="1:8" ht="17.100000000000001" customHeight="1" x14ac:dyDescent="0.2">
      <c r="A29" s="406" t="s">
        <v>672</v>
      </c>
      <c r="B29" s="383" t="s">
        <v>673</v>
      </c>
      <c r="C29" s="384" t="s">
        <v>332</v>
      </c>
      <c r="D29" s="385">
        <v>225</v>
      </c>
    </row>
    <row r="30" spans="1:8" ht="17.100000000000001" customHeight="1" x14ac:dyDescent="0.2">
      <c r="A30" s="406" t="s">
        <v>674</v>
      </c>
      <c r="B30" s="436" t="s">
        <v>641</v>
      </c>
      <c r="C30" s="384" t="s">
        <v>345</v>
      </c>
      <c r="D30" s="385">
        <v>2107</v>
      </c>
    </row>
    <row r="31" spans="1:8" ht="17.100000000000001" customHeight="1" x14ac:dyDescent="0.2">
      <c r="A31" s="406" t="s">
        <v>675</v>
      </c>
      <c r="B31" s="436" t="s">
        <v>676</v>
      </c>
      <c r="C31" s="384" t="s">
        <v>345</v>
      </c>
      <c r="D31" s="385">
        <v>4348</v>
      </c>
    </row>
    <row r="32" spans="1:8" ht="17.100000000000001" customHeight="1" x14ac:dyDescent="0.2">
      <c r="A32" s="406" t="s">
        <v>677</v>
      </c>
      <c r="B32" s="383" t="s">
        <v>678</v>
      </c>
      <c r="C32" s="384" t="s">
        <v>330</v>
      </c>
      <c r="D32" s="385">
        <v>19</v>
      </c>
    </row>
    <row r="33" spans="1:4" ht="17.100000000000001" customHeight="1" x14ac:dyDescent="0.2">
      <c r="A33" s="406" t="s">
        <v>679</v>
      </c>
      <c r="B33" s="383" t="s">
        <v>680</v>
      </c>
      <c r="C33" s="384" t="s">
        <v>345</v>
      </c>
      <c r="D33" s="385">
        <v>61</v>
      </c>
    </row>
    <row r="34" spans="1:4" ht="17.100000000000001" customHeight="1" x14ac:dyDescent="0.2">
      <c r="A34" s="406" t="s">
        <v>681</v>
      </c>
      <c r="B34" s="436" t="s">
        <v>682</v>
      </c>
      <c r="C34" s="384" t="s">
        <v>330</v>
      </c>
      <c r="D34" s="385">
        <v>3</v>
      </c>
    </row>
    <row r="35" spans="1:4" ht="17.100000000000001" customHeight="1" x14ac:dyDescent="0.2">
      <c r="A35" s="406" t="s">
        <v>683</v>
      </c>
      <c r="B35" s="436" t="s">
        <v>684</v>
      </c>
      <c r="C35" s="384" t="s">
        <v>345</v>
      </c>
      <c r="D35" s="385">
        <v>411</v>
      </c>
    </row>
    <row r="36" spans="1:4" ht="17.100000000000001" customHeight="1" x14ac:dyDescent="0.2">
      <c r="A36" s="406" t="s">
        <v>685</v>
      </c>
      <c r="B36" s="383" t="s">
        <v>686</v>
      </c>
      <c r="C36" s="384" t="s">
        <v>330</v>
      </c>
      <c r="D36" s="385">
        <v>11</v>
      </c>
    </row>
    <row r="37" spans="1:4" ht="17.100000000000001" customHeight="1" x14ac:dyDescent="0.2">
      <c r="A37" s="406" t="s">
        <v>687</v>
      </c>
      <c r="B37" s="383" t="s">
        <v>688</v>
      </c>
      <c r="C37" s="384" t="s">
        <v>330</v>
      </c>
      <c r="D37" s="385">
        <v>4</v>
      </c>
    </row>
    <row r="38" spans="1:4" ht="17.100000000000001" customHeight="1" x14ac:dyDescent="0.2">
      <c r="A38" s="406" t="s">
        <v>689</v>
      </c>
      <c r="B38" s="383" t="s">
        <v>690</v>
      </c>
      <c r="C38" s="384" t="s">
        <v>345</v>
      </c>
      <c r="D38" s="385">
        <v>17</v>
      </c>
    </row>
    <row r="39" spans="1:4" ht="17.100000000000001" customHeight="1" x14ac:dyDescent="0.2">
      <c r="A39" s="406" t="s">
        <v>691</v>
      </c>
      <c r="B39" s="383" t="s">
        <v>692</v>
      </c>
      <c r="C39" s="384" t="s">
        <v>345</v>
      </c>
      <c r="D39" s="385">
        <v>226.8</v>
      </c>
    </row>
    <row r="40" spans="1:4" ht="17.100000000000001" customHeight="1" x14ac:dyDescent="0.2">
      <c r="A40" s="406" t="s">
        <v>693</v>
      </c>
      <c r="B40" s="383" t="s">
        <v>694</v>
      </c>
      <c r="C40" s="384" t="s">
        <v>330</v>
      </c>
      <c r="D40" s="385">
        <v>10</v>
      </c>
    </row>
    <row r="41" spans="1:4" ht="17.100000000000001" customHeight="1" x14ac:dyDescent="0.2">
      <c r="A41" s="406" t="s">
        <v>695</v>
      </c>
      <c r="B41" s="383" t="s">
        <v>382</v>
      </c>
      <c r="C41" s="384" t="s">
        <v>332</v>
      </c>
      <c r="D41" s="385">
        <v>488.65</v>
      </c>
    </row>
    <row r="42" spans="1:4" ht="17.100000000000001" customHeight="1" x14ac:dyDescent="0.2">
      <c r="A42" s="406" t="s">
        <v>696</v>
      </c>
      <c r="B42" s="383" t="s">
        <v>697</v>
      </c>
      <c r="C42" s="384" t="s">
        <v>332</v>
      </c>
      <c r="D42" s="385">
        <v>48.87</v>
      </c>
    </row>
    <row r="43" spans="1:4" ht="17.100000000000001" customHeight="1" x14ac:dyDescent="0.2">
      <c r="A43" s="406" t="s">
        <v>698</v>
      </c>
      <c r="B43" s="383" t="s">
        <v>699</v>
      </c>
      <c r="C43" s="384" t="s">
        <v>332</v>
      </c>
      <c r="D43" s="385">
        <v>48.87</v>
      </c>
    </row>
    <row r="44" spans="1:4" ht="17.100000000000001" customHeight="1" x14ac:dyDescent="0.2">
      <c r="A44" s="406"/>
      <c r="B44" s="383" t="s">
        <v>589</v>
      </c>
      <c r="C44" s="384" t="s">
        <v>332</v>
      </c>
      <c r="D44" s="385">
        <v>74</v>
      </c>
    </row>
    <row r="45" spans="1:4" ht="17.100000000000001" customHeight="1" x14ac:dyDescent="0.2">
      <c r="A45" s="406" t="s">
        <v>700</v>
      </c>
      <c r="B45" s="383" t="s">
        <v>383</v>
      </c>
      <c r="C45" s="384"/>
      <c r="D45" s="385"/>
    </row>
    <row r="46" spans="1:4" ht="17.100000000000001" customHeight="1" x14ac:dyDescent="0.2">
      <c r="A46" s="406" t="s">
        <v>701</v>
      </c>
      <c r="B46" s="437" t="s">
        <v>572</v>
      </c>
      <c r="C46" s="384" t="s">
        <v>329</v>
      </c>
      <c r="D46" s="385">
        <v>6412.5</v>
      </c>
    </row>
    <row r="47" spans="1:4" ht="17.100000000000001" customHeight="1" x14ac:dyDescent="0.2">
      <c r="A47" s="406" t="s">
        <v>702</v>
      </c>
      <c r="B47" s="437" t="s">
        <v>703</v>
      </c>
      <c r="C47" s="384" t="s">
        <v>329</v>
      </c>
      <c r="D47" s="385">
        <v>562</v>
      </c>
    </row>
    <row r="48" spans="1:4" ht="17.100000000000001" customHeight="1" x14ac:dyDescent="0.2">
      <c r="A48" s="409" t="s">
        <v>704</v>
      </c>
      <c r="B48" s="437" t="s">
        <v>705</v>
      </c>
      <c r="C48" s="410" t="s">
        <v>330</v>
      </c>
      <c r="D48" s="385">
        <v>1209</v>
      </c>
    </row>
    <row r="49" spans="1:4" ht="17.100000000000001" customHeight="1" x14ac:dyDescent="0.2">
      <c r="A49" s="406" t="s">
        <v>706</v>
      </c>
      <c r="B49" s="437" t="s">
        <v>707</v>
      </c>
      <c r="C49" s="384" t="s">
        <v>330</v>
      </c>
      <c r="D49" s="385">
        <v>5034</v>
      </c>
    </row>
    <row r="50" spans="1:4" ht="17.100000000000001" customHeight="1" x14ac:dyDescent="0.2">
      <c r="A50" s="406" t="s">
        <v>708</v>
      </c>
      <c r="B50" s="437" t="s">
        <v>585</v>
      </c>
      <c r="C50" s="384" t="s">
        <v>330</v>
      </c>
      <c r="D50" s="385">
        <v>39</v>
      </c>
    </row>
    <row r="51" spans="1:4" ht="17.100000000000001" customHeight="1" x14ac:dyDescent="0.2">
      <c r="A51" s="406" t="s">
        <v>709</v>
      </c>
      <c r="B51" s="437" t="s">
        <v>584</v>
      </c>
      <c r="C51" s="384" t="s">
        <v>330</v>
      </c>
      <c r="D51" s="385">
        <v>108</v>
      </c>
    </row>
    <row r="52" spans="1:4" ht="17.100000000000001" customHeight="1" x14ac:dyDescent="0.2">
      <c r="A52" s="409" t="s">
        <v>710</v>
      </c>
      <c r="B52" s="437" t="s">
        <v>586</v>
      </c>
      <c r="C52" s="410" t="s">
        <v>330</v>
      </c>
      <c r="D52" s="385">
        <v>147</v>
      </c>
    </row>
    <row r="53" spans="1:4" ht="17.100000000000001" customHeight="1" x14ac:dyDescent="0.2">
      <c r="A53" s="406" t="s">
        <v>710</v>
      </c>
      <c r="B53" s="436" t="s">
        <v>711</v>
      </c>
      <c r="C53" s="384" t="s">
        <v>330</v>
      </c>
      <c r="D53" s="385">
        <v>19</v>
      </c>
    </row>
    <row r="54" spans="1:4" ht="17.100000000000001" customHeight="1" x14ac:dyDescent="0.2">
      <c r="A54" s="406" t="s">
        <v>712</v>
      </c>
      <c r="B54" s="436" t="s">
        <v>711</v>
      </c>
      <c r="C54" s="384" t="s">
        <v>330</v>
      </c>
      <c r="D54" s="385">
        <v>19</v>
      </c>
    </row>
    <row r="55" spans="1:4" ht="17.100000000000001" customHeight="1" x14ac:dyDescent="0.2">
      <c r="A55" s="409" t="s">
        <v>706</v>
      </c>
      <c r="B55" s="436" t="s">
        <v>588</v>
      </c>
      <c r="C55" s="410" t="s">
        <v>329</v>
      </c>
      <c r="D55" s="385">
        <v>82</v>
      </c>
    </row>
  </sheetData>
  <mergeCells count="2">
    <mergeCell ref="A1:D1"/>
    <mergeCell ref="B3:D3"/>
  </mergeCells>
  <pageMargins left="0.39370078740157483" right="0.39370078740157483" top="0.39370078740157483" bottom="0.39370078740157483" header="0" footer="0"/>
  <pageSetup paperSize="9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117"/>
  <sheetViews>
    <sheetView view="pageBreakPreview" zoomScale="115" zoomScaleNormal="100" zoomScaleSheetLayoutView="115" workbookViewId="0">
      <selection activeCell="A3" sqref="A3:G3"/>
    </sheetView>
  </sheetViews>
  <sheetFormatPr defaultColWidth="8.85546875" defaultRowHeight="12.75" x14ac:dyDescent="0.25"/>
  <cols>
    <col min="1" max="1" width="9.7109375" style="375" customWidth="1"/>
    <col min="2" max="2" width="31.28515625" style="375" customWidth="1"/>
    <col min="3" max="4" width="12.85546875" style="375" customWidth="1"/>
    <col min="5" max="5" width="16" style="375" customWidth="1"/>
    <col min="6" max="6" width="13.140625" style="375" customWidth="1"/>
    <col min="7" max="7" width="13.28515625" style="375" customWidth="1"/>
    <col min="8" max="16384" width="8.85546875" style="375"/>
  </cols>
  <sheetData>
    <row r="1" spans="1:7" ht="16.899999999999999" customHeight="1" x14ac:dyDescent="0.25">
      <c r="A1" s="372" t="s">
        <v>372</v>
      </c>
      <c r="B1" s="483" t="s">
        <v>373</v>
      </c>
      <c r="C1" s="483"/>
      <c r="D1" s="483"/>
      <c r="E1" s="483"/>
      <c r="F1" s="373"/>
      <c r="G1" s="374" t="s">
        <v>374</v>
      </c>
    </row>
    <row r="2" spans="1:7" ht="12.4" customHeight="1" x14ac:dyDescent="0.25">
      <c r="A2" s="484" t="s">
        <v>736</v>
      </c>
      <c r="B2" s="484"/>
      <c r="C2" s="484"/>
      <c r="D2" s="484"/>
      <c r="E2" s="484"/>
      <c r="F2" s="484"/>
      <c r="G2" s="484"/>
    </row>
    <row r="3" spans="1:7" ht="12" customHeight="1" x14ac:dyDescent="0.25">
      <c r="A3" s="484" t="s">
        <v>573</v>
      </c>
      <c r="B3" s="484"/>
      <c r="C3" s="484"/>
      <c r="D3" s="484"/>
      <c r="E3" s="484"/>
      <c r="F3" s="484"/>
      <c r="G3" s="484"/>
    </row>
    <row r="4" spans="1:7" ht="19.899999999999999" customHeight="1" x14ac:dyDescent="0.25">
      <c r="A4" s="417" t="s">
        <v>370</v>
      </c>
      <c r="B4" s="429" t="s">
        <v>172</v>
      </c>
      <c r="C4" s="417" t="s">
        <v>2</v>
      </c>
      <c r="D4" s="418" t="s">
        <v>574</v>
      </c>
      <c r="E4" s="417" t="s">
        <v>575</v>
      </c>
      <c r="F4" s="418" t="s">
        <v>10</v>
      </c>
      <c r="G4" s="419" t="s">
        <v>576</v>
      </c>
    </row>
    <row r="5" spans="1:7" ht="9.4" customHeight="1" x14ac:dyDescent="0.25">
      <c r="A5" s="420" t="s">
        <v>387</v>
      </c>
      <c r="B5" s="421" t="s">
        <v>388</v>
      </c>
      <c r="C5" s="420" t="s">
        <v>364</v>
      </c>
      <c r="D5" s="422">
        <v>8.7882999999999996</v>
      </c>
      <c r="E5" s="423">
        <v>1.782983</v>
      </c>
      <c r="F5" s="422">
        <v>24.457599999999999</v>
      </c>
      <c r="G5" s="424">
        <v>0</v>
      </c>
    </row>
    <row r="6" spans="1:7" ht="9" customHeight="1" x14ac:dyDescent="0.25">
      <c r="A6" s="420" t="s">
        <v>389</v>
      </c>
      <c r="B6" s="421" t="s">
        <v>390</v>
      </c>
      <c r="C6" s="420" t="s">
        <v>364</v>
      </c>
      <c r="D6" s="422">
        <v>10.5459</v>
      </c>
      <c r="E6" s="423">
        <v>1.749736</v>
      </c>
      <c r="F6" s="422">
        <v>28.9984</v>
      </c>
      <c r="G6" s="424">
        <v>0</v>
      </c>
    </row>
    <row r="7" spans="1:7" ht="9" customHeight="1" x14ac:dyDescent="0.25">
      <c r="A7" s="420" t="s">
        <v>391</v>
      </c>
      <c r="B7" s="421" t="s">
        <v>392</v>
      </c>
      <c r="C7" s="420" t="s">
        <v>14</v>
      </c>
      <c r="D7" s="425">
        <v>2166.9310999999998</v>
      </c>
      <c r="E7" s="423">
        <v>1.255914</v>
      </c>
      <c r="F7" s="425">
        <v>4888.4102000000003</v>
      </c>
      <c r="G7" s="424">
        <v>0</v>
      </c>
    </row>
    <row r="8" spans="1:7" ht="9" customHeight="1" x14ac:dyDescent="0.25">
      <c r="A8" s="420" t="s">
        <v>100</v>
      </c>
      <c r="B8" s="421" t="s">
        <v>40</v>
      </c>
      <c r="C8" s="420" t="s">
        <v>14</v>
      </c>
      <c r="D8" s="425">
        <v>1910.8478</v>
      </c>
      <c r="E8" s="423">
        <v>1.328624</v>
      </c>
      <c r="F8" s="425">
        <v>4449.6459999999997</v>
      </c>
      <c r="G8" s="424">
        <v>0</v>
      </c>
    </row>
    <row r="9" spans="1:7" ht="9" customHeight="1" x14ac:dyDescent="0.25">
      <c r="A9" s="420" t="s">
        <v>393</v>
      </c>
      <c r="B9" s="421" t="s">
        <v>394</v>
      </c>
      <c r="C9" s="420" t="s">
        <v>364</v>
      </c>
      <c r="D9" s="422">
        <v>12.13</v>
      </c>
      <c r="E9" s="423">
        <v>1.596414</v>
      </c>
      <c r="F9" s="422">
        <v>31.494499999999999</v>
      </c>
      <c r="G9" s="424">
        <v>0</v>
      </c>
    </row>
    <row r="10" spans="1:7" ht="9" customHeight="1" x14ac:dyDescent="0.25">
      <c r="A10" s="420" t="s">
        <v>139</v>
      </c>
      <c r="B10" s="421" t="s">
        <v>24</v>
      </c>
      <c r="C10" s="420" t="s">
        <v>14</v>
      </c>
      <c r="D10" s="425">
        <v>1997.0712000000001</v>
      </c>
      <c r="E10" s="423">
        <v>1.300135</v>
      </c>
      <c r="F10" s="425">
        <v>4593.5333000000001</v>
      </c>
      <c r="G10" s="424">
        <v>0</v>
      </c>
    </row>
    <row r="11" spans="1:7" ht="9" customHeight="1" x14ac:dyDescent="0.25">
      <c r="A11" s="420" t="s">
        <v>395</v>
      </c>
      <c r="B11" s="421" t="s">
        <v>396</v>
      </c>
      <c r="C11" s="420" t="s">
        <v>364</v>
      </c>
      <c r="D11" s="422">
        <v>12.5198</v>
      </c>
      <c r="E11" s="423">
        <v>1.648377</v>
      </c>
      <c r="F11" s="422">
        <v>33.1571</v>
      </c>
      <c r="G11" s="424">
        <v>0</v>
      </c>
    </row>
    <row r="12" spans="1:7" ht="9" customHeight="1" x14ac:dyDescent="0.25">
      <c r="A12" s="420" t="s">
        <v>397</v>
      </c>
      <c r="B12" s="421" t="s">
        <v>398</v>
      </c>
      <c r="C12" s="420" t="s">
        <v>364</v>
      </c>
      <c r="D12" s="422">
        <v>10.567399999999999</v>
      </c>
      <c r="E12" s="423">
        <v>1.6742410000000001</v>
      </c>
      <c r="F12" s="422">
        <v>28.259699999999999</v>
      </c>
      <c r="G12" s="424">
        <v>0</v>
      </c>
    </row>
    <row r="13" spans="1:7" ht="9" customHeight="1" x14ac:dyDescent="0.25">
      <c r="A13" s="420" t="s">
        <v>143</v>
      </c>
      <c r="B13" s="421" t="s">
        <v>151</v>
      </c>
      <c r="C13" s="420" t="s">
        <v>14</v>
      </c>
      <c r="D13" s="425">
        <v>4184.7842000000001</v>
      </c>
      <c r="E13" s="423">
        <v>0.99155700000000002</v>
      </c>
      <c r="F13" s="425">
        <v>8334.2361999999994</v>
      </c>
      <c r="G13" s="424">
        <v>0</v>
      </c>
    </row>
    <row r="14" spans="1:7" ht="9" customHeight="1" x14ac:dyDescent="0.25">
      <c r="A14" s="420" t="s">
        <v>399</v>
      </c>
      <c r="B14" s="421" t="s">
        <v>358</v>
      </c>
      <c r="C14" s="420" t="s">
        <v>364</v>
      </c>
      <c r="D14" s="422">
        <v>11.148</v>
      </c>
      <c r="E14" s="423">
        <v>1.6936089999999999</v>
      </c>
      <c r="F14" s="422">
        <v>30.028300000000002</v>
      </c>
      <c r="G14" s="424">
        <v>0</v>
      </c>
    </row>
    <row r="15" spans="1:7" ht="9" customHeight="1" x14ac:dyDescent="0.25">
      <c r="A15" s="420" t="s">
        <v>400</v>
      </c>
      <c r="B15" s="421" t="s">
        <v>401</v>
      </c>
      <c r="C15" s="420" t="s">
        <v>14</v>
      </c>
      <c r="D15" s="425">
        <v>3826.6959999999999</v>
      </c>
      <c r="E15" s="423">
        <v>1.047142</v>
      </c>
      <c r="F15" s="425">
        <v>7833.7901000000002</v>
      </c>
      <c r="G15" s="424">
        <v>0</v>
      </c>
    </row>
    <row r="16" spans="1:7" ht="9" customHeight="1" x14ac:dyDescent="0.25">
      <c r="A16" s="420" t="s">
        <v>402</v>
      </c>
      <c r="B16" s="421" t="s">
        <v>403</v>
      </c>
      <c r="C16" s="420" t="s">
        <v>14</v>
      </c>
      <c r="D16" s="425">
        <v>13594.5268</v>
      </c>
      <c r="E16" s="423">
        <v>0.83472599999999997</v>
      </c>
      <c r="F16" s="425">
        <v>24942.2317</v>
      </c>
      <c r="G16" s="424">
        <v>0</v>
      </c>
    </row>
    <row r="17" spans="1:7" ht="9" customHeight="1" x14ac:dyDescent="0.25">
      <c r="A17" s="420" t="s">
        <v>404</v>
      </c>
      <c r="B17" s="421" t="s">
        <v>405</v>
      </c>
      <c r="C17" s="420" t="s">
        <v>14</v>
      </c>
      <c r="D17" s="425">
        <v>1489.4281000000001</v>
      </c>
      <c r="E17" s="423">
        <v>1.4851859999999999</v>
      </c>
      <c r="F17" s="425">
        <v>3701.5057999999999</v>
      </c>
      <c r="G17" s="424">
        <v>0</v>
      </c>
    </row>
    <row r="18" spans="1:7" ht="9" customHeight="1" x14ac:dyDescent="0.25">
      <c r="A18" s="420" t="s">
        <v>406</v>
      </c>
      <c r="B18" s="421" t="s">
        <v>407</v>
      </c>
      <c r="C18" s="420" t="s">
        <v>364</v>
      </c>
      <c r="D18" s="422">
        <v>9.6300000000000008</v>
      </c>
      <c r="E18" s="423">
        <v>1.713444</v>
      </c>
      <c r="F18" s="422">
        <v>26.130400000000002</v>
      </c>
      <c r="G18" s="424">
        <v>0</v>
      </c>
    </row>
    <row r="19" spans="1:7" ht="9" customHeight="1" x14ac:dyDescent="0.25">
      <c r="A19" s="420" t="s">
        <v>144</v>
      </c>
      <c r="B19" s="421" t="s">
        <v>152</v>
      </c>
      <c r="C19" s="420" t="s">
        <v>14</v>
      </c>
      <c r="D19" s="425">
        <v>13594.5268</v>
      </c>
      <c r="E19" s="423">
        <v>0.83472599999999997</v>
      </c>
      <c r="F19" s="425">
        <v>24942.2317</v>
      </c>
      <c r="G19" s="424">
        <v>0</v>
      </c>
    </row>
    <row r="20" spans="1:7" ht="9" customHeight="1" x14ac:dyDescent="0.25">
      <c r="A20" s="420" t="s">
        <v>408</v>
      </c>
      <c r="B20" s="421" t="s">
        <v>359</v>
      </c>
      <c r="C20" s="420" t="s">
        <v>364</v>
      </c>
      <c r="D20" s="425">
        <v>10.538399999999999</v>
      </c>
      <c r="E20" s="423">
        <v>1.6710929999999999</v>
      </c>
      <c r="F20" s="425">
        <v>28.149000000000001</v>
      </c>
      <c r="G20" s="424">
        <v>0</v>
      </c>
    </row>
    <row r="21" spans="1:7" ht="9" customHeight="1" x14ac:dyDescent="0.25">
      <c r="A21" s="420" t="s">
        <v>409</v>
      </c>
      <c r="B21" s="421" t="s">
        <v>410</v>
      </c>
      <c r="C21" s="420" t="s">
        <v>364</v>
      </c>
      <c r="D21" s="422">
        <v>9.7873999999999999</v>
      </c>
      <c r="E21" s="423">
        <v>1.7234910000000001</v>
      </c>
      <c r="F21" s="422">
        <v>26.655799999999999</v>
      </c>
      <c r="G21" s="424">
        <v>0</v>
      </c>
    </row>
    <row r="22" spans="1:7" ht="9" customHeight="1" x14ac:dyDescent="0.25">
      <c r="A22" s="420" t="s">
        <v>411</v>
      </c>
      <c r="B22" s="421" t="s">
        <v>412</v>
      </c>
      <c r="C22" s="420" t="s">
        <v>364</v>
      </c>
      <c r="D22" s="422">
        <v>9.8834999999999997</v>
      </c>
      <c r="E22" s="423">
        <v>1.7048289999999999</v>
      </c>
      <c r="F22" s="422">
        <v>26.7331</v>
      </c>
      <c r="G22" s="424">
        <v>0</v>
      </c>
    </row>
    <row r="23" spans="1:7" ht="9" customHeight="1" x14ac:dyDescent="0.25">
      <c r="A23" s="420" t="s">
        <v>413</v>
      </c>
      <c r="B23" s="421" t="s">
        <v>360</v>
      </c>
      <c r="C23" s="420" t="s">
        <v>364</v>
      </c>
      <c r="D23" s="422">
        <v>7.5167999999999999</v>
      </c>
      <c r="E23" s="423">
        <v>1.8954279999999999</v>
      </c>
      <c r="F23" s="422">
        <v>21.764299999999999</v>
      </c>
      <c r="G23" s="424">
        <v>0</v>
      </c>
    </row>
    <row r="24" spans="1:7" ht="9" customHeight="1" x14ac:dyDescent="0.25">
      <c r="A24" s="420" t="s">
        <v>414</v>
      </c>
      <c r="B24" s="421" t="s">
        <v>415</v>
      </c>
      <c r="C24" s="420" t="s">
        <v>364</v>
      </c>
      <c r="D24" s="422">
        <v>14.854900000000001</v>
      </c>
      <c r="E24" s="423">
        <v>1.5103009999999999</v>
      </c>
      <c r="F24" s="422">
        <v>37.290199999999999</v>
      </c>
      <c r="G24" s="424">
        <v>0</v>
      </c>
    </row>
    <row r="25" spans="1:7" ht="9" customHeight="1" x14ac:dyDescent="0.25">
      <c r="A25" s="420" t="s">
        <v>416</v>
      </c>
      <c r="B25" s="421" t="s">
        <v>546</v>
      </c>
      <c r="C25" s="420" t="s">
        <v>14</v>
      </c>
      <c r="D25" s="422">
        <v>10383.690500000001</v>
      </c>
      <c r="E25" s="423">
        <v>0.85888200000000003</v>
      </c>
      <c r="F25" s="422">
        <v>19302.0553</v>
      </c>
      <c r="G25" s="424">
        <v>0</v>
      </c>
    </row>
    <row r="26" spans="1:7" ht="9" customHeight="1" x14ac:dyDescent="0.25">
      <c r="A26" s="420" t="s">
        <v>150</v>
      </c>
      <c r="B26" s="421" t="s">
        <v>23</v>
      </c>
      <c r="C26" s="420" t="s">
        <v>14</v>
      </c>
      <c r="D26" s="425">
        <v>1647.8</v>
      </c>
      <c r="E26" s="423">
        <v>1.652155</v>
      </c>
      <c r="F26" s="425">
        <v>4864.5609999999997</v>
      </c>
      <c r="G26" s="424">
        <v>0.3</v>
      </c>
    </row>
    <row r="27" spans="1:7" ht="9" customHeight="1" x14ac:dyDescent="0.25">
      <c r="A27" s="420" t="s">
        <v>417</v>
      </c>
      <c r="B27" s="421" t="s">
        <v>418</v>
      </c>
      <c r="C27" s="420" t="s">
        <v>364</v>
      </c>
      <c r="D27" s="425">
        <v>10.907</v>
      </c>
      <c r="E27" s="423">
        <v>1.7319880000000001</v>
      </c>
      <c r="F27" s="425">
        <v>29.797699999999999</v>
      </c>
      <c r="G27" s="424">
        <v>0</v>
      </c>
    </row>
    <row r="28" spans="1:7" ht="9" customHeight="1" x14ac:dyDescent="0.25">
      <c r="A28" s="420" t="s">
        <v>99</v>
      </c>
      <c r="B28" s="421" t="s">
        <v>419</v>
      </c>
      <c r="C28" s="420" t="s">
        <v>14</v>
      </c>
      <c r="D28" s="422">
        <v>2197.8000000000002</v>
      </c>
      <c r="E28" s="423">
        <v>1.2433259999999999</v>
      </c>
      <c r="F28" s="422">
        <v>4930.3818000000001</v>
      </c>
      <c r="G28" s="424">
        <v>0</v>
      </c>
    </row>
    <row r="29" spans="1:7" ht="9" customHeight="1" x14ac:dyDescent="0.25">
      <c r="A29" s="420" t="s">
        <v>420</v>
      </c>
      <c r="B29" s="421" t="s">
        <v>421</v>
      </c>
      <c r="C29" s="420" t="s">
        <v>364</v>
      </c>
      <c r="D29" s="425">
        <v>51.159500000000001</v>
      </c>
      <c r="E29" s="423">
        <v>1.2069019999999999</v>
      </c>
      <c r="F29" s="425">
        <v>112.904</v>
      </c>
      <c r="G29" s="424">
        <v>0</v>
      </c>
    </row>
    <row r="30" spans="1:7" ht="9" customHeight="1" x14ac:dyDescent="0.25">
      <c r="A30" s="420" t="s">
        <v>422</v>
      </c>
      <c r="B30" s="421" t="s">
        <v>423</v>
      </c>
      <c r="C30" s="420" t="s">
        <v>14</v>
      </c>
      <c r="D30" s="422">
        <v>4889.4578000000001</v>
      </c>
      <c r="E30" s="423">
        <v>0.97654799999999997</v>
      </c>
      <c r="F30" s="422">
        <v>9664.2479999999996</v>
      </c>
      <c r="G30" s="424">
        <v>0</v>
      </c>
    </row>
    <row r="31" spans="1:7" ht="9" customHeight="1" x14ac:dyDescent="0.25">
      <c r="A31" s="420" t="s">
        <v>149</v>
      </c>
      <c r="B31" s="421" t="s">
        <v>153</v>
      </c>
      <c r="C31" s="420" t="s">
        <v>14</v>
      </c>
      <c r="D31" s="422">
        <v>5976.1241</v>
      </c>
      <c r="E31" s="423">
        <v>0.94807399999999997</v>
      </c>
      <c r="F31" s="422">
        <v>11641.9319</v>
      </c>
      <c r="G31" s="424">
        <v>0</v>
      </c>
    </row>
    <row r="32" spans="1:7" ht="9" customHeight="1" x14ac:dyDescent="0.25">
      <c r="A32" s="420" t="s">
        <v>145</v>
      </c>
      <c r="B32" s="421" t="s">
        <v>25</v>
      </c>
      <c r="C32" s="420" t="s">
        <v>14</v>
      </c>
      <c r="D32" s="425">
        <v>1647.8</v>
      </c>
      <c r="E32" s="423">
        <v>1.4167380000000001</v>
      </c>
      <c r="F32" s="425">
        <v>3982.3008</v>
      </c>
      <c r="G32" s="424">
        <v>0</v>
      </c>
    </row>
    <row r="33" spans="1:7" ht="9" customHeight="1" x14ac:dyDescent="0.25">
      <c r="A33" s="420" t="s">
        <v>424</v>
      </c>
      <c r="B33" s="421" t="s">
        <v>425</v>
      </c>
      <c r="C33" s="420" t="s">
        <v>364</v>
      </c>
      <c r="D33" s="425">
        <v>8.7227999999999994</v>
      </c>
      <c r="E33" s="423">
        <v>1.7700260000000001</v>
      </c>
      <c r="F33" s="425">
        <v>24.162299999999998</v>
      </c>
      <c r="G33" s="424">
        <v>0</v>
      </c>
    </row>
    <row r="34" spans="1:7" ht="9" customHeight="1" x14ac:dyDescent="0.25">
      <c r="A34" s="420" t="s">
        <v>426</v>
      </c>
      <c r="B34" s="421" t="s">
        <v>427</v>
      </c>
      <c r="C34" s="420" t="s">
        <v>14</v>
      </c>
      <c r="D34" s="425">
        <v>5040.5873000000001</v>
      </c>
      <c r="E34" s="423">
        <v>0.96299500000000005</v>
      </c>
      <c r="F34" s="425">
        <v>9894.6476000000002</v>
      </c>
      <c r="G34" s="424">
        <v>0</v>
      </c>
    </row>
    <row r="35" spans="1:7" ht="9" customHeight="1" x14ac:dyDescent="0.25">
      <c r="A35" s="420" t="s">
        <v>428</v>
      </c>
      <c r="B35" s="421" t="s">
        <v>429</v>
      </c>
      <c r="C35" s="420" t="s">
        <v>364</v>
      </c>
      <c r="D35" s="422">
        <v>12.5451</v>
      </c>
      <c r="E35" s="423">
        <v>1.5675140000000001</v>
      </c>
      <c r="F35" s="422">
        <v>32.209699999999998</v>
      </c>
      <c r="G35" s="424">
        <v>0</v>
      </c>
    </row>
    <row r="36" spans="1:7" ht="9" customHeight="1" x14ac:dyDescent="0.25">
      <c r="A36" s="420" t="s">
        <v>430</v>
      </c>
      <c r="B36" s="421" t="s">
        <v>431</v>
      </c>
      <c r="C36" s="420" t="s">
        <v>364</v>
      </c>
      <c r="D36" s="425">
        <v>16.903600000000001</v>
      </c>
      <c r="E36" s="423">
        <v>1.4370240000000001</v>
      </c>
      <c r="F36" s="425">
        <v>41.194400000000002</v>
      </c>
      <c r="G36" s="424">
        <v>0</v>
      </c>
    </row>
    <row r="37" spans="1:7" ht="9" customHeight="1" x14ac:dyDescent="0.25">
      <c r="A37" s="420" t="s">
        <v>432</v>
      </c>
      <c r="B37" s="421" t="s">
        <v>433</v>
      </c>
      <c r="C37" s="420" t="s">
        <v>364</v>
      </c>
      <c r="D37" s="422">
        <v>8.7882999999999996</v>
      </c>
      <c r="E37" s="423">
        <v>1.7778419999999999</v>
      </c>
      <c r="F37" s="422">
        <v>24.412500000000001</v>
      </c>
      <c r="G37" s="424">
        <v>0</v>
      </c>
    </row>
    <row r="38" spans="1:7" ht="9" customHeight="1" x14ac:dyDescent="0.25">
      <c r="A38" s="420" t="s">
        <v>434</v>
      </c>
      <c r="B38" s="421" t="s">
        <v>435</v>
      </c>
      <c r="C38" s="420" t="s">
        <v>14</v>
      </c>
      <c r="D38" s="422">
        <v>3425.2411000000002</v>
      </c>
      <c r="E38" s="423">
        <v>1.0471459999999999</v>
      </c>
      <c r="F38" s="422">
        <v>7011.9686000000002</v>
      </c>
      <c r="G38" s="424">
        <v>0</v>
      </c>
    </row>
    <row r="39" spans="1:7" ht="9" customHeight="1" x14ac:dyDescent="0.25">
      <c r="A39" s="420" t="s">
        <v>436</v>
      </c>
      <c r="B39" s="421" t="s">
        <v>437</v>
      </c>
      <c r="C39" s="420" t="s">
        <v>14</v>
      </c>
      <c r="D39" s="422">
        <v>2299.9495000000002</v>
      </c>
      <c r="E39" s="423">
        <v>1.217176</v>
      </c>
      <c r="F39" s="422">
        <v>5099.3927999999996</v>
      </c>
      <c r="G39" s="424">
        <v>0</v>
      </c>
    </row>
    <row r="40" spans="1:7" ht="9" customHeight="1" x14ac:dyDescent="0.25">
      <c r="A40" s="420" t="s">
        <v>438</v>
      </c>
      <c r="B40" s="421" t="s">
        <v>439</v>
      </c>
      <c r="C40" s="420" t="s">
        <v>14</v>
      </c>
      <c r="D40" s="425">
        <v>1951.4</v>
      </c>
      <c r="E40" s="423">
        <v>1.282451</v>
      </c>
      <c r="F40" s="425">
        <v>4453.9748</v>
      </c>
      <c r="G40" s="424">
        <v>0</v>
      </c>
    </row>
    <row r="41" spans="1:7" ht="9" customHeight="1" x14ac:dyDescent="0.25">
      <c r="A41" s="420" t="s">
        <v>96</v>
      </c>
      <c r="B41" s="421" t="s">
        <v>440</v>
      </c>
      <c r="C41" s="420" t="s">
        <v>14</v>
      </c>
      <c r="D41" s="425">
        <v>9718.7921000000006</v>
      </c>
      <c r="E41" s="423">
        <v>0.86255199999999999</v>
      </c>
      <c r="F41" s="425">
        <v>18101.7556</v>
      </c>
      <c r="G41" s="424">
        <v>0</v>
      </c>
    </row>
    <row r="42" spans="1:7" ht="9" customHeight="1" x14ac:dyDescent="0.25">
      <c r="A42" s="420" t="s">
        <v>441</v>
      </c>
      <c r="B42" s="421" t="s">
        <v>442</v>
      </c>
      <c r="C42" s="420" t="s">
        <v>364</v>
      </c>
      <c r="D42" s="425">
        <v>10.489599999999999</v>
      </c>
      <c r="E42" s="423">
        <v>2.0115099999999999</v>
      </c>
      <c r="F42" s="425">
        <v>34.736400000000003</v>
      </c>
      <c r="G42" s="424">
        <v>0.3</v>
      </c>
    </row>
    <row r="43" spans="1:7" ht="9" customHeight="1" x14ac:dyDescent="0.25">
      <c r="A43" s="420" t="s">
        <v>443</v>
      </c>
      <c r="B43" s="421" t="s">
        <v>444</v>
      </c>
      <c r="C43" s="420" t="s">
        <v>364</v>
      </c>
      <c r="D43" s="425">
        <v>8.7882999999999996</v>
      </c>
      <c r="E43" s="423">
        <v>1.7576449999999999</v>
      </c>
      <c r="F43" s="425">
        <v>24.234999999999999</v>
      </c>
      <c r="G43" s="424">
        <v>0</v>
      </c>
    </row>
    <row r="44" spans="1:7" ht="9" customHeight="1" x14ac:dyDescent="0.25">
      <c r="A44" s="420" t="s">
        <v>445</v>
      </c>
      <c r="B44" s="421" t="s">
        <v>446</v>
      </c>
      <c r="C44" s="420" t="s">
        <v>14</v>
      </c>
      <c r="D44" s="422">
        <v>1868.7920999999999</v>
      </c>
      <c r="E44" s="423">
        <v>1.278807</v>
      </c>
      <c r="F44" s="422">
        <v>4258.6165000000001</v>
      </c>
      <c r="G44" s="424">
        <v>0</v>
      </c>
    </row>
    <row r="45" spans="1:7" ht="9" customHeight="1" x14ac:dyDescent="0.25">
      <c r="A45" s="420" t="s">
        <v>447</v>
      </c>
      <c r="B45" s="421" t="s">
        <v>448</v>
      </c>
      <c r="C45" s="420" t="s">
        <v>14</v>
      </c>
      <c r="D45" s="422">
        <v>2097.5636</v>
      </c>
      <c r="E45" s="423">
        <v>1.2584299999999999</v>
      </c>
      <c r="F45" s="422">
        <v>4737.2004999999999</v>
      </c>
      <c r="G45" s="424">
        <v>0</v>
      </c>
    </row>
    <row r="46" spans="1:7" ht="9" customHeight="1" x14ac:dyDescent="0.25">
      <c r="A46" s="420" t="s">
        <v>449</v>
      </c>
      <c r="B46" s="421" t="s">
        <v>450</v>
      </c>
      <c r="C46" s="420" t="s">
        <v>364</v>
      </c>
      <c r="D46" s="425">
        <v>9.3032000000000004</v>
      </c>
      <c r="E46" s="423">
        <v>1.713473</v>
      </c>
      <c r="F46" s="425">
        <v>25.2439</v>
      </c>
      <c r="G46" s="424">
        <v>0</v>
      </c>
    </row>
    <row r="47" spans="1:7" ht="9" customHeight="1" x14ac:dyDescent="0.25">
      <c r="A47" s="420" t="s">
        <v>451</v>
      </c>
      <c r="B47" s="421" t="s">
        <v>452</v>
      </c>
      <c r="C47" s="420" t="s">
        <v>14</v>
      </c>
      <c r="D47" s="425">
        <v>2046.7058</v>
      </c>
      <c r="E47" s="423">
        <v>1.269468</v>
      </c>
      <c r="F47" s="425">
        <v>4644.9332999999997</v>
      </c>
      <c r="G47" s="424">
        <v>0</v>
      </c>
    </row>
    <row r="48" spans="1:7" ht="9" customHeight="1" x14ac:dyDescent="0.25">
      <c r="A48" s="420" t="s">
        <v>98</v>
      </c>
      <c r="B48" s="421" t="s">
        <v>453</v>
      </c>
      <c r="C48" s="420" t="s">
        <v>14</v>
      </c>
      <c r="D48" s="422">
        <v>2947.6662999999999</v>
      </c>
      <c r="E48" s="423">
        <v>1.12463</v>
      </c>
      <c r="F48" s="422">
        <v>6262.7002000000002</v>
      </c>
      <c r="G48" s="424">
        <v>0</v>
      </c>
    </row>
    <row r="49" spans="1:7" ht="9" customHeight="1" x14ac:dyDescent="0.25">
      <c r="A49" s="420" t="s">
        <v>454</v>
      </c>
      <c r="B49" s="421" t="s">
        <v>455</v>
      </c>
      <c r="C49" s="420" t="s">
        <v>364</v>
      </c>
      <c r="D49" s="425">
        <v>7.5167999999999999</v>
      </c>
      <c r="E49" s="423">
        <v>1.9068350000000001</v>
      </c>
      <c r="F49" s="425">
        <v>21.85</v>
      </c>
      <c r="G49" s="424">
        <v>0</v>
      </c>
    </row>
    <row r="50" spans="1:7" ht="9" customHeight="1" x14ac:dyDescent="0.25">
      <c r="A50" s="420" t="s">
        <v>456</v>
      </c>
      <c r="B50" s="421" t="s">
        <v>457</v>
      </c>
      <c r="C50" s="420" t="s">
        <v>364</v>
      </c>
      <c r="D50" s="425">
        <v>8.7882999999999996</v>
      </c>
      <c r="E50" s="423">
        <v>1.7669820000000001</v>
      </c>
      <c r="F50" s="425">
        <v>24.317</v>
      </c>
      <c r="G50" s="424">
        <v>0</v>
      </c>
    </row>
    <row r="51" spans="1:7" ht="9" customHeight="1" x14ac:dyDescent="0.25">
      <c r="A51" s="420" t="s">
        <v>95</v>
      </c>
      <c r="B51" s="421" t="s">
        <v>458</v>
      </c>
      <c r="C51" s="420" t="s">
        <v>14</v>
      </c>
      <c r="D51" s="422">
        <v>11702.906199999999</v>
      </c>
      <c r="E51" s="423">
        <v>0.84973900000000002</v>
      </c>
      <c r="F51" s="422">
        <v>21647.322</v>
      </c>
      <c r="G51" s="424">
        <v>0</v>
      </c>
    </row>
    <row r="52" spans="1:7" ht="9" customHeight="1" x14ac:dyDescent="0.25">
      <c r="A52" s="420" t="s">
        <v>459</v>
      </c>
      <c r="B52" s="421" t="s">
        <v>460</v>
      </c>
      <c r="C52" s="420" t="s">
        <v>14</v>
      </c>
      <c r="D52" s="422">
        <v>3325</v>
      </c>
      <c r="E52" s="423">
        <v>1.0930009999999999</v>
      </c>
      <c r="F52" s="422">
        <v>6959.2282999999998</v>
      </c>
      <c r="G52" s="424">
        <v>0</v>
      </c>
    </row>
    <row r="53" spans="1:7" ht="9" customHeight="1" x14ac:dyDescent="0.25">
      <c r="A53" s="420" t="s">
        <v>461</v>
      </c>
      <c r="B53" s="421" t="s">
        <v>462</v>
      </c>
      <c r="C53" s="420" t="s">
        <v>364</v>
      </c>
      <c r="D53" s="422">
        <v>10.661099999999999</v>
      </c>
      <c r="E53" s="423">
        <v>1.63161</v>
      </c>
      <c r="F53" s="422">
        <v>28.055800000000001</v>
      </c>
      <c r="G53" s="424">
        <v>0</v>
      </c>
    </row>
    <row r="54" spans="1:7" ht="9" customHeight="1" x14ac:dyDescent="0.25">
      <c r="A54" s="420" t="s">
        <v>270</v>
      </c>
      <c r="B54" s="421" t="s">
        <v>463</v>
      </c>
      <c r="C54" s="420" t="s">
        <v>14</v>
      </c>
      <c r="D54" s="425">
        <v>3463.0129999999999</v>
      </c>
      <c r="E54" s="423">
        <v>1.074479</v>
      </c>
      <c r="F54" s="425">
        <v>7183.9476999999997</v>
      </c>
      <c r="G54" s="424">
        <v>0</v>
      </c>
    </row>
    <row r="55" spans="1:7" ht="9" customHeight="1" x14ac:dyDescent="0.25">
      <c r="A55" s="420" t="s">
        <v>251</v>
      </c>
      <c r="B55" s="421" t="s">
        <v>464</v>
      </c>
      <c r="C55" s="420" t="s">
        <v>14</v>
      </c>
      <c r="D55" s="425">
        <v>3826.6959999999999</v>
      </c>
      <c r="E55" s="423">
        <v>1.047142</v>
      </c>
      <c r="F55" s="425">
        <v>7833.7901000000002</v>
      </c>
      <c r="G55" s="424">
        <v>0</v>
      </c>
    </row>
    <row r="56" spans="1:7" ht="9" customHeight="1" x14ac:dyDescent="0.25">
      <c r="A56" s="420" t="s">
        <v>465</v>
      </c>
      <c r="B56" s="421" t="s">
        <v>466</v>
      </c>
      <c r="C56" s="420" t="s">
        <v>364</v>
      </c>
      <c r="D56" s="422">
        <v>9.9959000000000007</v>
      </c>
      <c r="E56" s="423">
        <v>1.6582490000000001</v>
      </c>
      <c r="F56" s="422">
        <v>26.5715</v>
      </c>
      <c r="G56" s="424">
        <v>0</v>
      </c>
    </row>
    <row r="57" spans="1:7" ht="9" customHeight="1" x14ac:dyDescent="0.25">
      <c r="A57" s="420" t="s">
        <v>467</v>
      </c>
      <c r="B57" s="421" t="s">
        <v>468</v>
      </c>
      <c r="C57" s="420" t="s">
        <v>364</v>
      </c>
      <c r="D57" s="425">
        <v>12.8689</v>
      </c>
      <c r="E57" s="423">
        <v>1.5415909999999999</v>
      </c>
      <c r="F57" s="425">
        <v>32.7074</v>
      </c>
      <c r="G57" s="424">
        <v>0</v>
      </c>
    </row>
    <row r="58" spans="1:7" ht="9" customHeight="1" x14ac:dyDescent="0.25">
      <c r="A58" s="420" t="s">
        <v>97</v>
      </c>
      <c r="B58" s="421" t="s">
        <v>39</v>
      </c>
      <c r="C58" s="420" t="s">
        <v>14</v>
      </c>
      <c r="D58" s="425">
        <v>2409.4672</v>
      </c>
      <c r="E58" s="423">
        <v>1.209155</v>
      </c>
      <c r="F58" s="425">
        <v>5322.8864999999996</v>
      </c>
      <c r="G58" s="424">
        <v>0</v>
      </c>
    </row>
    <row r="59" spans="1:7" ht="9" customHeight="1" x14ac:dyDescent="0.25">
      <c r="A59" s="420" t="s">
        <v>94</v>
      </c>
      <c r="B59" s="421" t="s">
        <v>469</v>
      </c>
      <c r="C59" s="420" t="s">
        <v>14</v>
      </c>
      <c r="D59" s="422">
        <v>3165.7141000000001</v>
      </c>
      <c r="E59" s="423">
        <v>1.0998190000000001</v>
      </c>
      <c r="F59" s="422">
        <v>6647.4265999999998</v>
      </c>
      <c r="G59" s="424">
        <v>0</v>
      </c>
    </row>
    <row r="60" spans="1:7" ht="9" customHeight="1" x14ac:dyDescent="0.25">
      <c r="A60" s="420" t="s">
        <v>147</v>
      </c>
      <c r="B60" s="421" t="s">
        <v>17</v>
      </c>
      <c r="C60" s="420" t="s">
        <v>14</v>
      </c>
      <c r="D60" s="422">
        <v>2862.3146000000002</v>
      </c>
      <c r="E60" s="423">
        <v>1.0971390000000001</v>
      </c>
      <c r="F60" s="422">
        <v>6002.6715000000004</v>
      </c>
      <c r="G60" s="424">
        <v>0</v>
      </c>
    </row>
    <row r="61" spans="1:7" ht="9" customHeight="1" x14ac:dyDescent="0.25">
      <c r="A61" s="420" t="s">
        <v>470</v>
      </c>
      <c r="B61" s="421" t="s">
        <v>471</v>
      </c>
      <c r="C61" s="420" t="s">
        <v>14</v>
      </c>
      <c r="D61" s="425">
        <v>3276.33</v>
      </c>
      <c r="E61" s="423">
        <v>1.075159</v>
      </c>
      <c r="F61" s="425">
        <v>6798.9056</v>
      </c>
      <c r="G61" s="424">
        <v>0</v>
      </c>
    </row>
    <row r="62" spans="1:7" ht="9" customHeight="1" x14ac:dyDescent="0.25">
      <c r="A62" s="420" t="s">
        <v>472</v>
      </c>
      <c r="B62" s="421" t="s">
        <v>473</v>
      </c>
      <c r="C62" s="420" t="s">
        <v>364</v>
      </c>
      <c r="D62" s="425">
        <v>15.741</v>
      </c>
      <c r="E62" s="423">
        <v>1.4689650000000001</v>
      </c>
      <c r="F62" s="425">
        <v>38.863900000000001</v>
      </c>
      <c r="G62" s="424">
        <v>0</v>
      </c>
    </row>
    <row r="63" spans="1:7" ht="9" customHeight="1" x14ac:dyDescent="0.25">
      <c r="A63" s="420" t="s">
        <v>142</v>
      </c>
      <c r="B63" s="421" t="s">
        <v>21</v>
      </c>
      <c r="C63" s="420" t="s">
        <v>14</v>
      </c>
      <c r="D63" s="425">
        <v>4185.0775000000003</v>
      </c>
      <c r="E63" s="423">
        <v>0.99154100000000001</v>
      </c>
      <c r="F63" s="425">
        <v>8334.7533999999996</v>
      </c>
      <c r="G63" s="424">
        <v>0</v>
      </c>
    </row>
    <row r="64" spans="1:7" ht="9" customHeight="1" x14ac:dyDescent="0.25">
      <c r="A64" s="420" t="s">
        <v>230</v>
      </c>
      <c r="B64" s="421" t="s">
        <v>474</v>
      </c>
      <c r="C64" s="420" t="s">
        <v>14</v>
      </c>
      <c r="D64" s="425">
        <v>3826.6959999999999</v>
      </c>
      <c r="E64" s="423">
        <v>1.047142</v>
      </c>
      <c r="F64" s="425">
        <v>7833.7901000000002</v>
      </c>
      <c r="G64" s="424">
        <v>0</v>
      </c>
    </row>
    <row r="65" spans="1:7" ht="9" customHeight="1" x14ac:dyDescent="0.25">
      <c r="A65" s="420" t="s">
        <v>475</v>
      </c>
      <c r="B65" s="421" t="s">
        <v>476</v>
      </c>
      <c r="C65" s="420" t="s">
        <v>364</v>
      </c>
      <c r="D65" s="422">
        <v>8.7882999999999996</v>
      </c>
      <c r="E65" s="423">
        <v>1.825113</v>
      </c>
      <c r="F65" s="422">
        <v>24.8279</v>
      </c>
      <c r="G65" s="424">
        <v>0</v>
      </c>
    </row>
    <row r="66" spans="1:7" ht="9" customHeight="1" x14ac:dyDescent="0.25">
      <c r="A66" s="420" t="s">
        <v>477</v>
      </c>
      <c r="B66" s="421" t="s">
        <v>478</v>
      </c>
      <c r="C66" s="420" t="s">
        <v>14</v>
      </c>
      <c r="D66" s="425">
        <v>3721.2874000000002</v>
      </c>
      <c r="E66" s="423">
        <v>1.0444990000000001</v>
      </c>
      <c r="F66" s="425">
        <v>7608.1683000000003</v>
      </c>
      <c r="G66" s="424">
        <v>0</v>
      </c>
    </row>
    <row r="67" spans="1:7" ht="9" customHeight="1" x14ac:dyDescent="0.25">
      <c r="A67" s="420" t="s">
        <v>479</v>
      </c>
      <c r="B67" s="421" t="s">
        <v>480</v>
      </c>
      <c r="C67" s="420" t="s">
        <v>14</v>
      </c>
      <c r="D67" s="425">
        <v>13204.4053</v>
      </c>
      <c r="E67" s="423">
        <v>0.83504999999999996</v>
      </c>
      <c r="F67" s="425">
        <v>24230.743900000001</v>
      </c>
      <c r="G67" s="424">
        <v>0</v>
      </c>
    </row>
    <row r="68" spans="1:7" ht="9" customHeight="1" x14ac:dyDescent="0.25">
      <c r="A68" s="420" t="s">
        <v>481</v>
      </c>
      <c r="B68" s="421" t="s">
        <v>482</v>
      </c>
      <c r="C68" s="420" t="s">
        <v>364</v>
      </c>
      <c r="D68" s="422">
        <v>9.6300000000000008</v>
      </c>
      <c r="E68" s="423">
        <v>2.0637750000000001</v>
      </c>
      <c r="F68" s="422">
        <v>32.393099999999997</v>
      </c>
      <c r="G68" s="424">
        <v>0.3</v>
      </c>
    </row>
    <row r="69" spans="1:7" ht="9" customHeight="1" x14ac:dyDescent="0.25">
      <c r="A69" s="420" t="s">
        <v>231</v>
      </c>
      <c r="B69" s="421" t="s">
        <v>36</v>
      </c>
      <c r="C69" s="420" t="s">
        <v>14</v>
      </c>
      <c r="D69" s="425">
        <v>3826.6959999999999</v>
      </c>
      <c r="E69" s="423">
        <v>1.047142</v>
      </c>
      <c r="F69" s="425">
        <v>7833.7901000000002</v>
      </c>
      <c r="G69" s="424">
        <v>0</v>
      </c>
    </row>
    <row r="70" spans="1:7" ht="9" customHeight="1" x14ac:dyDescent="0.25">
      <c r="A70" s="420" t="s">
        <v>146</v>
      </c>
      <c r="B70" s="421" t="s">
        <v>22</v>
      </c>
      <c r="C70" s="420" t="s">
        <v>14</v>
      </c>
      <c r="D70" s="425">
        <v>1951.4</v>
      </c>
      <c r="E70" s="423">
        <v>1.3100510000000001</v>
      </c>
      <c r="F70" s="425">
        <v>4507.8334999999997</v>
      </c>
      <c r="G70" s="424">
        <v>0</v>
      </c>
    </row>
    <row r="71" spans="1:7" ht="9" customHeight="1" x14ac:dyDescent="0.25">
      <c r="A71" s="420" t="s">
        <v>148</v>
      </c>
      <c r="B71" s="421" t="s">
        <v>483</v>
      </c>
      <c r="C71" s="420" t="s">
        <v>14</v>
      </c>
      <c r="D71" s="422">
        <v>3483.1280000000002</v>
      </c>
      <c r="E71" s="423">
        <v>1.069939</v>
      </c>
      <c r="F71" s="422">
        <v>7209.8624</v>
      </c>
      <c r="G71" s="424">
        <v>0</v>
      </c>
    </row>
    <row r="72" spans="1:7" ht="9" customHeight="1" x14ac:dyDescent="0.25">
      <c r="A72" s="420" t="s">
        <v>484</v>
      </c>
      <c r="B72" s="421" t="s">
        <v>485</v>
      </c>
      <c r="C72" s="420" t="s">
        <v>14</v>
      </c>
      <c r="D72" s="425">
        <v>3912.9947999999999</v>
      </c>
      <c r="E72" s="423">
        <v>1.035064</v>
      </c>
      <c r="F72" s="425">
        <v>7963.1948000000002</v>
      </c>
      <c r="G72" s="424">
        <v>0</v>
      </c>
    </row>
    <row r="73" spans="1:7" ht="9" customHeight="1" x14ac:dyDescent="0.25">
      <c r="A73" s="420" t="s">
        <v>375</v>
      </c>
      <c r="B73" s="421" t="s">
        <v>486</v>
      </c>
      <c r="C73" s="420" t="s">
        <v>14</v>
      </c>
      <c r="D73" s="425">
        <v>3826.6959999999999</v>
      </c>
      <c r="E73" s="423">
        <v>1.047142</v>
      </c>
      <c r="F73" s="425">
        <v>7833.7901000000002</v>
      </c>
      <c r="G73" s="424">
        <v>0</v>
      </c>
    </row>
    <row r="74" spans="1:7" ht="9" customHeight="1" x14ac:dyDescent="0.25">
      <c r="A74" s="420" t="s">
        <v>140</v>
      </c>
      <c r="B74" s="421" t="s">
        <v>19</v>
      </c>
      <c r="C74" s="420" t="s">
        <v>14</v>
      </c>
      <c r="D74" s="425">
        <v>2022.6514</v>
      </c>
      <c r="E74" s="423">
        <v>1.2793350000000001</v>
      </c>
      <c r="F74" s="425">
        <v>4610.3001000000004</v>
      </c>
      <c r="G74" s="424">
        <v>0</v>
      </c>
    </row>
    <row r="75" spans="1:7" ht="9" customHeight="1" x14ac:dyDescent="0.25">
      <c r="A75" s="420" t="s">
        <v>487</v>
      </c>
      <c r="B75" s="421" t="s">
        <v>488</v>
      </c>
      <c r="C75" s="420" t="s">
        <v>14</v>
      </c>
      <c r="D75" s="425">
        <v>12219.841899999999</v>
      </c>
      <c r="E75" s="423">
        <v>0.84062000000000003</v>
      </c>
      <c r="F75" s="425">
        <v>22492.085299999999</v>
      </c>
      <c r="G75" s="424">
        <v>0</v>
      </c>
    </row>
    <row r="76" spans="1:7" ht="9" customHeight="1" x14ac:dyDescent="0.25">
      <c r="A76" s="420" t="s">
        <v>489</v>
      </c>
      <c r="B76" s="421" t="s">
        <v>490</v>
      </c>
      <c r="C76" s="420" t="s">
        <v>14</v>
      </c>
      <c r="D76" s="425">
        <v>9192.4752000000008</v>
      </c>
      <c r="E76" s="423">
        <v>0.86891600000000002</v>
      </c>
      <c r="F76" s="425">
        <v>17179.963899999999</v>
      </c>
      <c r="G76" s="424">
        <v>0</v>
      </c>
    </row>
    <row r="77" spans="1:7" ht="9" customHeight="1" x14ac:dyDescent="0.25">
      <c r="A77" s="420" t="s">
        <v>491</v>
      </c>
      <c r="B77" s="421" t="s">
        <v>492</v>
      </c>
      <c r="C77" s="420" t="s">
        <v>14</v>
      </c>
      <c r="D77" s="425">
        <v>2687.7105000000001</v>
      </c>
      <c r="E77" s="423">
        <v>1.1484049999999999</v>
      </c>
      <c r="F77" s="425">
        <v>5774.2906000000003</v>
      </c>
      <c r="G77" s="424">
        <v>0</v>
      </c>
    </row>
    <row r="78" spans="1:7" ht="9" customHeight="1" x14ac:dyDescent="0.25">
      <c r="A78" s="420" t="s">
        <v>493</v>
      </c>
      <c r="B78" s="421" t="s">
        <v>494</v>
      </c>
      <c r="C78" s="420" t="s">
        <v>14</v>
      </c>
      <c r="D78" s="425">
        <v>2907.4569999999999</v>
      </c>
      <c r="E78" s="423">
        <v>1.117024</v>
      </c>
      <c r="F78" s="425">
        <v>6155.1562000000004</v>
      </c>
      <c r="G78" s="424">
        <v>0</v>
      </c>
    </row>
    <row r="79" spans="1:7" ht="9" customHeight="1" x14ac:dyDescent="0.25">
      <c r="A79" s="420" t="s">
        <v>495</v>
      </c>
      <c r="B79" s="421" t="s">
        <v>496</v>
      </c>
      <c r="C79" s="420" t="s">
        <v>14</v>
      </c>
      <c r="D79" s="425">
        <v>2299.9495000000002</v>
      </c>
      <c r="E79" s="423">
        <v>1.217176</v>
      </c>
      <c r="F79" s="425">
        <v>5099.3927999999996</v>
      </c>
      <c r="G79" s="424">
        <v>0</v>
      </c>
    </row>
    <row r="80" spans="1:7" ht="9" customHeight="1" x14ac:dyDescent="0.25">
      <c r="A80" s="420" t="s">
        <v>497</v>
      </c>
      <c r="B80" s="421" t="s">
        <v>498</v>
      </c>
      <c r="C80" s="420" t="s">
        <v>364</v>
      </c>
      <c r="D80" s="425">
        <v>22.911799999999999</v>
      </c>
      <c r="E80" s="423">
        <v>1.6727890000000001</v>
      </c>
      <c r="F80" s="425">
        <v>68.111900000000006</v>
      </c>
      <c r="G80" s="424">
        <v>0.3</v>
      </c>
    </row>
    <row r="81" spans="1:7" ht="9" customHeight="1" x14ac:dyDescent="0.25">
      <c r="A81" s="420" t="s">
        <v>499</v>
      </c>
      <c r="B81" s="421" t="s">
        <v>500</v>
      </c>
      <c r="C81" s="420" t="s">
        <v>14</v>
      </c>
      <c r="D81" s="425">
        <v>3595.3388</v>
      </c>
      <c r="E81" s="423">
        <v>1.046726</v>
      </c>
      <c r="F81" s="425">
        <v>7358.6733999999997</v>
      </c>
      <c r="G81" s="424">
        <v>0</v>
      </c>
    </row>
    <row r="82" spans="1:7" ht="9" customHeight="1" x14ac:dyDescent="0.25">
      <c r="A82" s="420" t="s">
        <v>501</v>
      </c>
      <c r="B82" s="421" t="s">
        <v>502</v>
      </c>
      <c r="C82" s="420" t="s">
        <v>364</v>
      </c>
      <c r="D82" s="425">
        <v>12.498100000000001</v>
      </c>
      <c r="E82" s="423">
        <v>1.5541</v>
      </c>
      <c r="F82" s="425">
        <v>31.921299999999999</v>
      </c>
      <c r="G82" s="424">
        <v>0</v>
      </c>
    </row>
    <row r="83" spans="1:7" ht="9" customHeight="1" x14ac:dyDescent="0.25">
      <c r="A83" s="420" t="s">
        <v>252</v>
      </c>
      <c r="B83" s="421" t="s">
        <v>503</v>
      </c>
      <c r="C83" s="420" t="s">
        <v>14</v>
      </c>
      <c r="D83" s="422">
        <v>3826.6959999999999</v>
      </c>
      <c r="E83" s="423">
        <v>1.047142</v>
      </c>
      <c r="F83" s="422">
        <v>7833.7901000000002</v>
      </c>
      <c r="G83" s="424">
        <v>0</v>
      </c>
    </row>
    <row r="84" spans="1:7" ht="9" customHeight="1" x14ac:dyDescent="0.25">
      <c r="A84" s="420" t="s">
        <v>504</v>
      </c>
      <c r="B84" s="421" t="s">
        <v>505</v>
      </c>
      <c r="C84" s="420" t="s">
        <v>14</v>
      </c>
      <c r="D84" s="425">
        <v>5040.5873000000001</v>
      </c>
      <c r="E84" s="423">
        <v>0.96299500000000005</v>
      </c>
      <c r="F84" s="425">
        <v>9894.6476000000002</v>
      </c>
      <c r="G84" s="424">
        <v>0</v>
      </c>
    </row>
    <row r="85" spans="1:7" ht="9.4" customHeight="1" x14ac:dyDescent="0.25">
      <c r="A85" s="421" t="s">
        <v>714</v>
      </c>
      <c r="B85" s="426" t="s">
        <v>715</v>
      </c>
      <c r="C85" s="420" t="s">
        <v>364</v>
      </c>
      <c r="D85" s="422">
        <v>9.4347999999999992</v>
      </c>
      <c r="E85" s="423">
        <v>2.469913</v>
      </c>
      <c r="F85" s="422">
        <v>35.138100000000001</v>
      </c>
      <c r="G85" s="424">
        <v>0.25440000000000002</v>
      </c>
    </row>
    <row r="86" spans="1:7" ht="9" customHeight="1" x14ac:dyDescent="0.25">
      <c r="A86" s="421" t="s">
        <v>716</v>
      </c>
      <c r="B86" s="426" t="s">
        <v>717</v>
      </c>
      <c r="C86" s="420" t="s">
        <v>364</v>
      </c>
      <c r="D86" s="425">
        <v>9.3925999999999998</v>
      </c>
      <c r="E86" s="423">
        <v>2.5590600000000001</v>
      </c>
      <c r="F86" s="425">
        <v>36.246600000000001</v>
      </c>
      <c r="G86" s="424">
        <v>0.3</v>
      </c>
    </row>
    <row r="87" spans="1:7" ht="9" customHeight="1" x14ac:dyDescent="0.25">
      <c r="A87" s="421" t="s">
        <v>718</v>
      </c>
      <c r="B87" s="426" t="s">
        <v>719</v>
      </c>
      <c r="C87" s="420" t="s">
        <v>364</v>
      </c>
      <c r="D87" s="425">
        <v>9.3925999999999998</v>
      </c>
      <c r="E87" s="423">
        <v>3.9448620000000001</v>
      </c>
      <c r="F87" s="425">
        <v>49.262799999999999</v>
      </c>
      <c r="G87" s="424">
        <v>0.3</v>
      </c>
    </row>
    <row r="88" spans="1:7" ht="9" customHeight="1" x14ac:dyDescent="0.25">
      <c r="A88" s="421" t="s">
        <v>720</v>
      </c>
      <c r="B88" s="426" t="s">
        <v>721</v>
      </c>
      <c r="C88" s="420" t="s">
        <v>364</v>
      </c>
      <c r="D88" s="422">
        <v>9.4347999999999992</v>
      </c>
      <c r="E88" s="423">
        <v>3.5464289999999998</v>
      </c>
      <c r="F88" s="422">
        <v>45.294800000000002</v>
      </c>
      <c r="G88" s="424">
        <v>0.25440000000000002</v>
      </c>
    </row>
    <row r="89" spans="1:7" ht="9" customHeight="1" x14ac:dyDescent="0.25">
      <c r="A89" s="421" t="s">
        <v>722</v>
      </c>
      <c r="B89" s="426" t="s">
        <v>723</v>
      </c>
      <c r="C89" s="420" t="s">
        <v>364</v>
      </c>
      <c r="D89" s="422">
        <v>9.4347999999999992</v>
      </c>
      <c r="E89" s="423">
        <v>2.2324419999999998</v>
      </c>
      <c r="F89" s="422">
        <v>32.897599999999997</v>
      </c>
      <c r="G89" s="424">
        <v>0.25440000000000002</v>
      </c>
    </row>
    <row r="90" spans="1:7" ht="9" customHeight="1" x14ac:dyDescent="0.25">
      <c r="A90" s="421" t="s">
        <v>506</v>
      </c>
      <c r="B90" s="426" t="s">
        <v>507</v>
      </c>
      <c r="C90" s="420" t="s">
        <v>364</v>
      </c>
      <c r="D90" s="422">
        <v>8.7882999999999996</v>
      </c>
      <c r="E90" s="423">
        <v>2.1567639999999999</v>
      </c>
      <c r="F90" s="422">
        <v>30.379000000000001</v>
      </c>
      <c r="G90" s="424">
        <v>0.3</v>
      </c>
    </row>
    <row r="91" spans="1:7" ht="9" customHeight="1" x14ac:dyDescent="0.25">
      <c r="A91" s="421" t="s">
        <v>508</v>
      </c>
      <c r="B91" s="426" t="s">
        <v>509</v>
      </c>
      <c r="C91" s="420" t="s">
        <v>364</v>
      </c>
      <c r="D91" s="422">
        <v>7.5167999999999999</v>
      </c>
      <c r="E91" s="423">
        <v>2.2270720000000002</v>
      </c>
      <c r="F91" s="422">
        <v>26.5122</v>
      </c>
      <c r="G91" s="424">
        <v>0.3</v>
      </c>
    </row>
    <row r="92" spans="1:7" ht="9" customHeight="1" x14ac:dyDescent="0.25">
      <c r="A92" s="421" t="s">
        <v>510</v>
      </c>
      <c r="B92" s="426" t="s">
        <v>511</v>
      </c>
      <c r="C92" s="420" t="s">
        <v>364</v>
      </c>
      <c r="D92" s="422">
        <v>12.5198</v>
      </c>
      <c r="E92" s="423">
        <v>1.979012</v>
      </c>
      <c r="F92" s="422">
        <v>41.052500000000002</v>
      </c>
      <c r="G92" s="424">
        <v>0.3</v>
      </c>
    </row>
    <row r="93" spans="1:7" ht="9" customHeight="1" x14ac:dyDescent="0.25">
      <c r="A93" s="421" t="s">
        <v>512</v>
      </c>
      <c r="B93" s="426" t="s">
        <v>513</v>
      </c>
      <c r="C93" s="420" t="s">
        <v>364</v>
      </c>
      <c r="D93" s="422">
        <v>11.148</v>
      </c>
      <c r="E93" s="423">
        <v>2.0250789999999999</v>
      </c>
      <c r="F93" s="422">
        <v>37.067900000000002</v>
      </c>
      <c r="G93" s="424">
        <v>0.3</v>
      </c>
    </row>
    <row r="94" spans="1:7" ht="9" customHeight="1" x14ac:dyDescent="0.25">
      <c r="A94" s="421" t="s">
        <v>724</v>
      </c>
      <c r="B94" s="426" t="s">
        <v>725</v>
      </c>
      <c r="C94" s="420" t="s">
        <v>364</v>
      </c>
      <c r="D94" s="422">
        <v>18.207000000000001</v>
      </c>
      <c r="E94" s="423">
        <v>1.767096</v>
      </c>
      <c r="F94" s="422">
        <v>52.780099999999997</v>
      </c>
      <c r="G94" s="424">
        <v>0.1318</v>
      </c>
    </row>
    <row r="95" spans="1:7" ht="9" customHeight="1" x14ac:dyDescent="0.25">
      <c r="A95" s="421" t="s">
        <v>514</v>
      </c>
      <c r="B95" s="426" t="s">
        <v>515</v>
      </c>
      <c r="C95" s="420" t="s">
        <v>364</v>
      </c>
      <c r="D95" s="422">
        <v>12.5451</v>
      </c>
      <c r="E95" s="423">
        <v>1.8994310000000001</v>
      </c>
      <c r="F95" s="422">
        <v>40.137099999999997</v>
      </c>
      <c r="G95" s="424">
        <v>0.3</v>
      </c>
    </row>
    <row r="96" spans="1:7" ht="9" customHeight="1" x14ac:dyDescent="0.25">
      <c r="A96" s="421" t="s">
        <v>726</v>
      </c>
      <c r="B96" s="426" t="s">
        <v>727</v>
      </c>
      <c r="C96" s="420" t="s">
        <v>14</v>
      </c>
      <c r="D96" s="422">
        <v>4005.5306999999998</v>
      </c>
      <c r="E96" s="423">
        <v>1.298581</v>
      </c>
      <c r="F96" s="422">
        <v>9734.9657000000007</v>
      </c>
      <c r="G96" s="424">
        <v>0.1318</v>
      </c>
    </row>
    <row r="97" spans="1:7" ht="9" customHeight="1" x14ac:dyDescent="0.25">
      <c r="A97" s="421" t="s">
        <v>516</v>
      </c>
      <c r="B97" s="426" t="s">
        <v>517</v>
      </c>
      <c r="C97" s="420" t="s">
        <v>364</v>
      </c>
      <c r="D97" s="422">
        <v>12.8689</v>
      </c>
      <c r="E97" s="423">
        <v>1.8736630000000001</v>
      </c>
      <c r="F97" s="422">
        <v>40.841500000000003</v>
      </c>
      <c r="G97" s="424">
        <v>0.3</v>
      </c>
    </row>
    <row r="98" spans="1:7" ht="9" customHeight="1" x14ac:dyDescent="0.25">
      <c r="A98" s="421" t="s">
        <v>518</v>
      </c>
      <c r="B98" s="426" t="s">
        <v>519</v>
      </c>
      <c r="C98" s="420" t="s">
        <v>364</v>
      </c>
      <c r="D98" s="422">
        <v>8.7227999999999994</v>
      </c>
      <c r="E98" s="423">
        <v>2.1019410000000001</v>
      </c>
      <c r="F98" s="422">
        <v>29.674399999999999</v>
      </c>
      <c r="G98" s="424">
        <v>0.3</v>
      </c>
    </row>
    <row r="99" spans="1:7" ht="9" customHeight="1" x14ac:dyDescent="0.25">
      <c r="A99" s="421" t="s">
        <v>520</v>
      </c>
      <c r="B99" s="426" t="s">
        <v>521</v>
      </c>
      <c r="C99" s="420" t="s">
        <v>364</v>
      </c>
      <c r="D99" s="422">
        <v>8.7227999999999994</v>
      </c>
      <c r="E99" s="423">
        <v>2.2875179999999999</v>
      </c>
      <c r="F99" s="422">
        <v>31.076000000000001</v>
      </c>
      <c r="G99" s="424">
        <v>0.27510000000000001</v>
      </c>
    </row>
    <row r="100" spans="1:7" ht="9" customHeight="1" x14ac:dyDescent="0.25">
      <c r="A100" s="421" t="s">
        <v>522</v>
      </c>
      <c r="B100" s="426" t="s">
        <v>523</v>
      </c>
      <c r="C100" s="420" t="s">
        <v>364</v>
      </c>
      <c r="D100" s="422">
        <v>14.8924</v>
      </c>
      <c r="E100" s="423">
        <v>1.8080099999999999</v>
      </c>
      <c r="F100" s="422">
        <v>46.285699999999999</v>
      </c>
      <c r="G100" s="424">
        <v>0.3</v>
      </c>
    </row>
    <row r="101" spans="1:7" ht="9" customHeight="1" x14ac:dyDescent="0.25">
      <c r="A101" s="421" t="s">
        <v>524</v>
      </c>
      <c r="B101" s="426" t="s">
        <v>525</v>
      </c>
      <c r="C101" s="420" t="s">
        <v>364</v>
      </c>
      <c r="D101" s="422">
        <v>22.911799999999999</v>
      </c>
      <c r="E101" s="423">
        <v>1.6727890000000001</v>
      </c>
      <c r="F101" s="422">
        <v>68.111900000000006</v>
      </c>
      <c r="G101" s="424">
        <v>0.3</v>
      </c>
    </row>
    <row r="102" spans="1:7" ht="9" customHeight="1" x14ac:dyDescent="0.25">
      <c r="A102" s="421" t="s">
        <v>526</v>
      </c>
      <c r="B102" s="426" t="s">
        <v>527</v>
      </c>
      <c r="C102" s="420" t="s">
        <v>364</v>
      </c>
      <c r="D102" s="422">
        <v>9.3032000000000004</v>
      </c>
      <c r="E102" s="423">
        <v>2.0418880000000001</v>
      </c>
      <c r="F102" s="422">
        <v>31.090199999999999</v>
      </c>
      <c r="G102" s="424">
        <v>0.3</v>
      </c>
    </row>
    <row r="103" spans="1:7" ht="9" customHeight="1" x14ac:dyDescent="0.25">
      <c r="A103" s="421" t="s">
        <v>528</v>
      </c>
      <c r="B103" s="426" t="s">
        <v>529</v>
      </c>
      <c r="C103" s="420" t="s">
        <v>364</v>
      </c>
      <c r="D103" s="425">
        <v>13.447100000000001</v>
      </c>
      <c r="E103" s="423">
        <v>1.8542860000000001</v>
      </c>
      <c r="F103" s="425">
        <v>42.415900000000001</v>
      </c>
      <c r="G103" s="424">
        <v>0.3</v>
      </c>
    </row>
    <row r="104" spans="1:7" ht="9" customHeight="1" x14ac:dyDescent="0.25">
      <c r="A104" s="421" t="s">
        <v>530</v>
      </c>
      <c r="B104" s="426" t="s">
        <v>531</v>
      </c>
      <c r="C104" s="420" t="s">
        <v>364</v>
      </c>
      <c r="D104" s="425">
        <v>16.903600000000001</v>
      </c>
      <c r="E104" s="423">
        <v>1.768945</v>
      </c>
      <c r="F104" s="425">
        <v>51.876199999999997</v>
      </c>
      <c r="G104" s="424">
        <v>0.3</v>
      </c>
    </row>
    <row r="105" spans="1:7" ht="9" customHeight="1" x14ac:dyDescent="0.25">
      <c r="A105" s="421" t="s">
        <v>532</v>
      </c>
      <c r="B105" s="426" t="s">
        <v>533</v>
      </c>
      <c r="C105" s="420" t="s">
        <v>364</v>
      </c>
      <c r="D105" s="425">
        <v>16.342400000000001</v>
      </c>
      <c r="E105" s="423">
        <v>1.7737320000000001</v>
      </c>
      <c r="F105" s="425">
        <v>50.232100000000003</v>
      </c>
      <c r="G105" s="424">
        <v>0.3</v>
      </c>
    </row>
    <row r="106" spans="1:7" ht="9" customHeight="1" x14ac:dyDescent="0.25">
      <c r="A106" s="421" t="s">
        <v>250</v>
      </c>
      <c r="B106" s="426" t="s">
        <v>201</v>
      </c>
      <c r="C106" s="420" t="s">
        <v>14</v>
      </c>
      <c r="D106" s="425">
        <v>11378.568300000001</v>
      </c>
      <c r="E106" s="423">
        <v>0.84894700000000001</v>
      </c>
      <c r="F106" s="425">
        <v>21038.369699999999</v>
      </c>
      <c r="G106" s="424">
        <v>0</v>
      </c>
    </row>
    <row r="107" spans="1:7" ht="9" customHeight="1" x14ac:dyDescent="0.25">
      <c r="A107" s="421" t="s">
        <v>264</v>
      </c>
      <c r="B107" s="426" t="s">
        <v>534</v>
      </c>
      <c r="C107" s="420" t="s">
        <v>14</v>
      </c>
      <c r="D107" s="425">
        <v>3483.1280000000002</v>
      </c>
      <c r="E107" s="423">
        <v>1.069939</v>
      </c>
      <c r="F107" s="425">
        <v>7209.8624</v>
      </c>
      <c r="G107" s="424">
        <v>0</v>
      </c>
    </row>
    <row r="108" spans="1:7" ht="9" customHeight="1" x14ac:dyDescent="0.25">
      <c r="A108" s="421" t="s">
        <v>256</v>
      </c>
      <c r="B108" s="426" t="s">
        <v>535</v>
      </c>
      <c r="C108" s="420" t="s">
        <v>14</v>
      </c>
      <c r="D108" s="425">
        <v>2199.0956999999999</v>
      </c>
      <c r="E108" s="423">
        <v>1.230499</v>
      </c>
      <c r="F108" s="425">
        <v>4905.0807000000004</v>
      </c>
      <c r="G108" s="424">
        <v>0</v>
      </c>
    </row>
    <row r="109" spans="1:7" ht="9" customHeight="1" x14ac:dyDescent="0.25">
      <c r="A109" s="421" t="s">
        <v>253</v>
      </c>
      <c r="B109" s="426" t="s">
        <v>37</v>
      </c>
      <c r="C109" s="420" t="s">
        <v>14</v>
      </c>
      <c r="D109" s="425">
        <v>3065.92</v>
      </c>
      <c r="E109" s="423">
        <v>1.1167549999999999</v>
      </c>
      <c r="F109" s="425">
        <v>6489.8014000000003</v>
      </c>
      <c r="G109" s="424">
        <v>0</v>
      </c>
    </row>
    <row r="110" spans="1:7" ht="9" customHeight="1" x14ac:dyDescent="0.25">
      <c r="A110" s="421" t="s">
        <v>254</v>
      </c>
      <c r="B110" s="426" t="s">
        <v>141</v>
      </c>
      <c r="C110" s="420" t="s">
        <v>14</v>
      </c>
      <c r="D110" s="425">
        <v>2010.8</v>
      </c>
      <c r="E110" s="423">
        <v>1.2975000000000001</v>
      </c>
      <c r="F110" s="425">
        <v>4619.8130000000001</v>
      </c>
      <c r="G110" s="424">
        <v>0</v>
      </c>
    </row>
    <row r="111" spans="1:7" ht="9" customHeight="1" x14ac:dyDescent="0.25">
      <c r="A111" s="421" t="s">
        <v>263</v>
      </c>
      <c r="B111" s="426" t="s">
        <v>536</v>
      </c>
      <c r="C111" s="420" t="s">
        <v>14</v>
      </c>
      <c r="D111" s="425">
        <v>9718.7921000000006</v>
      </c>
      <c r="E111" s="423">
        <v>1.052092</v>
      </c>
      <c r="F111" s="425">
        <v>20471.585899999998</v>
      </c>
      <c r="G111" s="424">
        <v>5.4300000000000001E-2</v>
      </c>
    </row>
    <row r="112" spans="1:7" ht="9" customHeight="1" x14ac:dyDescent="0.25">
      <c r="A112" s="421" t="s">
        <v>266</v>
      </c>
      <c r="B112" s="426" t="s">
        <v>537</v>
      </c>
      <c r="C112" s="420" t="s">
        <v>14</v>
      </c>
      <c r="D112" s="425">
        <v>2318.3804</v>
      </c>
      <c r="E112" s="423">
        <v>1.2464059999999999</v>
      </c>
      <c r="F112" s="425">
        <v>5208.0236000000004</v>
      </c>
      <c r="G112" s="424">
        <v>0</v>
      </c>
    </row>
    <row r="113" spans="1:7" ht="9" customHeight="1" x14ac:dyDescent="0.25">
      <c r="A113" s="421" t="s">
        <v>268</v>
      </c>
      <c r="B113" s="426" t="s">
        <v>538</v>
      </c>
      <c r="C113" s="420" t="s">
        <v>14</v>
      </c>
      <c r="D113" s="422">
        <v>2452.5938999999998</v>
      </c>
      <c r="E113" s="423">
        <v>1.2611239999999999</v>
      </c>
      <c r="F113" s="422">
        <v>5545.6189000000004</v>
      </c>
      <c r="G113" s="424">
        <v>0</v>
      </c>
    </row>
    <row r="114" spans="1:7" ht="9" customHeight="1" x14ac:dyDescent="0.25">
      <c r="A114" s="421" t="s">
        <v>267</v>
      </c>
      <c r="B114" s="426" t="s">
        <v>539</v>
      </c>
      <c r="C114" s="420" t="s">
        <v>14</v>
      </c>
      <c r="D114" s="425">
        <v>1653.6925000000001</v>
      </c>
      <c r="E114" s="423">
        <v>1.4378420000000001</v>
      </c>
      <c r="F114" s="425">
        <v>4031.4409999999998</v>
      </c>
      <c r="G114" s="424">
        <v>0</v>
      </c>
    </row>
    <row r="115" spans="1:7" ht="9" customHeight="1" x14ac:dyDescent="0.25">
      <c r="A115" s="421" t="s">
        <v>249</v>
      </c>
      <c r="B115" s="426" t="s">
        <v>240</v>
      </c>
      <c r="C115" s="420" t="s">
        <v>14</v>
      </c>
      <c r="D115" s="425">
        <v>17765.912</v>
      </c>
      <c r="E115" s="423">
        <v>0.81757899999999994</v>
      </c>
      <c r="F115" s="425">
        <v>32290.948499999999</v>
      </c>
      <c r="G115" s="424">
        <v>0</v>
      </c>
    </row>
    <row r="116" spans="1:7" ht="9" customHeight="1" x14ac:dyDescent="0.25">
      <c r="A116" s="421" t="s">
        <v>540</v>
      </c>
      <c r="B116" s="426" t="s">
        <v>541</v>
      </c>
      <c r="C116" s="420" t="s">
        <v>364</v>
      </c>
      <c r="D116" s="425">
        <v>10.661099999999999</v>
      </c>
      <c r="E116" s="423">
        <v>1.9636769999999999</v>
      </c>
      <c r="F116" s="425">
        <v>34.7943</v>
      </c>
      <c r="G116" s="424">
        <v>0.3</v>
      </c>
    </row>
    <row r="117" spans="1:7" ht="9" customHeight="1" x14ac:dyDescent="0.25">
      <c r="A117" s="421" t="s">
        <v>542</v>
      </c>
      <c r="B117" s="426" t="s">
        <v>543</v>
      </c>
      <c r="C117" s="420" t="s">
        <v>14</v>
      </c>
      <c r="D117" s="425">
        <v>2958.3577</v>
      </c>
      <c r="E117" s="423">
        <v>1.121937</v>
      </c>
      <c r="F117" s="425">
        <v>6277.4485999999997</v>
      </c>
      <c r="G117" s="424">
        <v>0</v>
      </c>
    </row>
  </sheetData>
  <mergeCells count="3">
    <mergeCell ref="B1:E1"/>
    <mergeCell ref="A2:G2"/>
    <mergeCell ref="A3:G3"/>
  </mergeCells>
  <pageMargins left="0.7" right="0.7" top="0.75" bottom="0.75" header="0.3" footer="0.3"/>
  <pageSetup paperSize="9" scale="72" orientation="portrait" horizontalDpi="360" verticalDpi="36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0000FF"/>
  </sheetPr>
  <dimension ref="A1:G16"/>
  <sheetViews>
    <sheetView view="pageBreakPreview" zoomScaleNormal="100" zoomScaleSheetLayoutView="100" workbookViewId="0">
      <selection activeCell="H11" sqref="H11"/>
    </sheetView>
  </sheetViews>
  <sheetFormatPr defaultColWidth="9.140625" defaultRowHeight="15" x14ac:dyDescent="0.25"/>
  <cols>
    <col min="1" max="1" width="18" style="288" customWidth="1"/>
    <col min="2" max="2" width="64.7109375" style="380" customWidth="1"/>
    <col min="3" max="3" width="15.42578125" style="288" customWidth="1"/>
    <col min="4" max="4" width="18.7109375" style="288" customWidth="1"/>
    <col min="5" max="16384" width="9.140625" style="287"/>
  </cols>
  <sheetData>
    <row r="1" spans="1:7" s="326" customFormat="1" ht="36" customHeight="1" x14ac:dyDescent="0.25">
      <c r="A1" s="486" t="s">
        <v>547</v>
      </c>
      <c r="B1" s="486"/>
      <c r="C1" s="486"/>
      <c r="D1" s="486"/>
      <c r="F1" s="404">
        <v>182.49</v>
      </c>
      <c r="G1" s="326">
        <f>F1*3</f>
        <v>547.47</v>
      </c>
    </row>
    <row r="2" spans="1:7" s="286" customFormat="1" ht="26.45" customHeight="1" x14ac:dyDescent="0.25">
      <c r="A2" s="349" t="s">
        <v>346</v>
      </c>
      <c r="B2" s="378" t="s">
        <v>347</v>
      </c>
      <c r="C2" s="349" t="s">
        <v>348</v>
      </c>
      <c r="D2" s="349" t="s">
        <v>349</v>
      </c>
    </row>
    <row r="3" spans="1:7" s="286" customFormat="1" ht="25.15" customHeight="1" x14ac:dyDescent="0.25">
      <c r="A3" s="350" t="s">
        <v>548</v>
      </c>
      <c r="B3" s="379" t="s">
        <v>549</v>
      </c>
      <c r="C3" s="432">
        <v>18419.155556999998</v>
      </c>
      <c r="D3" s="433">
        <f>ROUNDUP(C3/$G$1,0)</f>
        <v>34</v>
      </c>
    </row>
    <row r="4" spans="1:7" s="286" customFormat="1" ht="25.15" customHeight="1" x14ac:dyDescent="0.25">
      <c r="A4" s="350" t="s">
        <v>550</v>
      </c>
      <c r="B4" s="379" t="s">
        <v>551</v>
      </c>
      <c r="C4" s="432">
        <v>595.235142</v>
      </c>
      <c r="D4" s="433">
        <f>ROUNDUP(C4/$G$1,0)</f>
        <v>2</v>
      </c>
    </row>
    <row r="5" spans="1:7" s="286" customFormat="1" ht="25.15" customHeight="1" x14ac:dyDescent="0.25">
      <c r="A5" s="350" t="s">
        <v>552</v>
      </c>
      <c r="B5" s="379" t="s">
        <v>553</v>
      </c>
      <c r="C5" s="432">
        <v>596.49623099999997</v>
      </c>
      <c r="D5" s="433">
        <f t="shared" ref="D5:D11" si="0">ROUNDUP(C5/$G$1,0)</f>
        <v>2</v>
      </c>
    </row>
    <row r="6" spans="1:7" s="286" customFormat="1" ht="25.15" customHeight="1" x14ac:dyDescent="0.25">
      <c r="A6" s="350" t="s">
        <v>554</v>
      </c>
      <c r="B6" s="379" t="s">
        <v>555</v>
      </c>
      <c r="C6" s="432">
        <v>514.90341999999998</v>
      </c>
      <c r="D6" s="433">
        <f t="shared" si="0"/>
        <v>1</v>
      </c>
    </row>
    <row r="7" spans="1:7" s="286" customFormat="1" ht="25.15" customHeight="1" x14ac:dyDescent="0.25">
      <c r="A7" s="350" t="s">
        <v>558</v>
      </c>
      <c r="B7" s="379" t="s">
        <v>559</v>
      </c>
      <c r="C7" s="432">
        <v>418.21424300000001</v>
      </c>
      <c r="D7" s="433">
        <f t="shared" si="0"/>
        <v>1</v>
      </c>
    </row>
    <row r="8" spans="1:7" s="286" customFormat="1" ht="25.15" customHeight="1" x14ac:dyDescent="0.25">
      <c r="A8" s="350" t="s">
        <v>563</v>
      </c>
      <c r="B8" s="379" t="s">
        <v>564</v>
      </c>
      <c r="C8" s="432">
        <v>114.050314</v>
      </c>
      <c r="D8" s="433">
        <f t="shared" si="0"/>
        <v>1</v>
      </c>
    </row>
    <row r="9" spans="1:7" s="286" customFormat="1" ht="25.15" customHeight="1" x14ac:dyDescent="0.25">
      <c r="A9" s="350" t="s">
        <v>561</v>
      </c>
      <c r="B9" s="379" t="s">
        <v>562</v>
      </c>
      <c r="C9" s="432">
        <v>30.901043000000001</v>
      </c>
      <c r="D9" s="433">
        <f t="shared" si="0"/>
        <v>1</v>
      </c>
    </row>
    <row r="10" spans="1:7" s="286" customFormat="1" ht="25.15" customHeight="1" x14ac:dyDescent="0.25">
      <c r="A10" s="350" t="s">
        <v>556</v>
      </c>
      <c r="B10" s="379" t="s">
        <v>557</v>
      </c>
      <c r="C10" s="432">
        <v>13.3362</v>
      </c>
      <c r="D10" s="433">
        <f t="shared" ref="D10" si="1">ROUNDUP(C10/$G$1,0)</f>
        <v>1</v>
      </c>
    </row>
    <row r="11" spans="1:7" s="286" customFormat="1" ht="25.15" customHeight="1" x14ac:dyDescent="0.25">
      <c r="A11" s="350" t="s">
        <v>565</v>
      </c>
      <c r="B11" s="379" t="s">
        <v>560</v>
      </c>
      <c r="C11" s="432">
        <v>12.909052000000001</v>
      </c>
      <c r="D11" s="433">
        <f t="shared" si="0"/>
        <v>1</v>
      </c>
    </row>
    <row r="12" spans="1:7" x14ac:dyDescent="0.25">
      <c r="A12" s="487" t="s">
        <v>605</v>
      </c>
      <c r="B12" s="487"/>
      <c r="C12" s="487"/>
      <c r="D12" s="434">
        <f>SUM(D3:D11)</f>
        <v>44</v>
      </c>
    </row>
    <row r="13" spans="1:7" x14ac:dyDescent="0.25">
      <c r="A13" s="487" t="s">
        <v>606</v>
      </c>
      <c r="B13" s="487"/>
      <c r="C13" s="487"/>
      <c r="D13" s="434">
        <f>'FIXA - construção'!J38</f>
        <v>3</v>
      </c>
    </row>
    <row r="14" spans="1:7" x14ac:dyDescent="0.25">
      <c r="A14" s="487" t="s">
        <v>607</v>
      </c>
      <c r="B14" s="487"/>
      <c r="C14" s="487"/>
      <c r="D14" s="434">
        <f>'VINCULADA - construção'!J42</f>
        <v>4</v>
      </c>
    </row>
    <row r="15" spans="1:7" x14ac:dyDescent="0.25">
      <c r="A15" s="487" t="s">
        <v>608</v>
      </c>
      <c r="B15" s="487"/>
      <c r="C15" s="487"/>
      <c r="D15" s="434">
        <f>'VARIÁVEL - FRENTES DE SERVIÇOS'!H54+'VARIÁVEL - CONTROLE TECNOLÓGICO'!J37</f>
        <v>3</v>
      </c>
    </row>
    <row r="16" spans="1:7" x14ac:dyDescent="0.25">
      <c r="A16" s="485" t="s">
        <v>609</v>
      </c>
      <c r="B16" s="485"/>
      <c r="C16" s="485"/>
      <c r="D16" s="435">
        <f>SUM(D12:D15)</f>
        <v>54</v>
      </c>
    </row>
  </sheetData>
  <mergeCells count="6">
    <mergeCell ref="A16:C16"/>
    <mergeCell ref="A1:D1"/>
    <mergeCell ref="A12:C12"/>
    <mergeCell ref="A13:C13"/>
    <mergeCell ref="A14:C14"/>
    <mergeCell ref="A15:C15"/>
  </mergeCells>
  <printOptions horizontalCentered="1"/>
  <pageMargins left="0.78740157480314965" right="0.51181102362204722" top="0.78740157480314965" bottom="0.78740157480314965" header="0.31496062992125984" footer="0.31496062992125984"/>
  <pageSetup paperSize="9" scale="70" orientation="portrait" r:id="rId1"/>
  <headerFooter>
    <oddFooter>&amp;C&amp;A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0000FF"/>
    <pageSetUpPr fitToPage="1"/>
  </sheetPr>
  <dimension ref="A1:G26"/>
  <sheetViews>
    <sheetView showGridLines="0" view="pageBreakPreview" zoomScaleNormal="100" zoomScaleSheetLayoutView="100" workbookViewId="0">
      <selection activeCell="I17" sqref="I17"/>
    </sheetView>
  </sheetViews>
  <sheetFormatPr defaultColWidth="9.140625" defaultRowHeight="15" x14ac:dyDescent="0.25"/>
  <cols>
    <col min="1" max="1" width="9.140625" style="244"/>
    <col min="2" max="2" width="70.85546875" style="224" bestFit="1" customWidth="1"/>
    <col min="3" max="3" width="11.42578125" style="224" customWidth="1"/>
    <col min="4" max="4" width="12.42578125" style="224" customWidth="1"/>
    <col min="5" max="5" width="14.42578125" style="224" customWidth="1"/>
    <col min="6" max="6" width="15.7109375" style="224" customWidth="1"/>
    <col min="7" max="7" width="15.28515625" style="53" bestFit="1" customWidth="1"/>
    <col min="8" max="8" width="10.140625" style="53" bestFit="1" customWidth="1"/>
    <col min="9" max="16384" width="9.140625" style="53"/>
  </cols>
  <sheetData>
    <row r="1" spans="1:7" ht="33.6" customHeight="1" x14ac:dyDescent="0.2">
      <c r="A1" s="491" t="s">
        <v>286</v>
      </c>
      <c r="B1" s="492"/>
      <c r="C1" s="492"/>
      <c r="D1" s="492"/>
      <c r="E1" s="492"/>
      <c r="F1" s="493"/>
    </row>
    <row r="2" spans="1:7" s="60" customFormat="1" ht="12" customHeight="1" x14ac:dyDescent="0.2">
      <c r="A2" s="494"/>
      <c r="B2" s="495"/>
      <c r="C2" s="495"/>
      <c r="D2" s="495"/>
      <c r="E2" s="495"/>
      <c r="F2" s="496"/>
    </row>
    <row r="3" spans="1:7" ht="14.25" x14ac:dyDescent="0.2">
      <c r="A3" s="160" t="s">
        <v>1</v>
      </c>
      <c r="B3" s="161" t="s">
        <v>9</v>
      </c>
      <c r="C3" s="160" t="s">
        <v>2</v>
      </c>
      <c r="D3" s="160" t="s">
        <v>3</v>
      </c>
      <c r="E3" s="237" t="s">
        <v>10</v>
      </c>
      <c r="F3" s="237" t="s">
        <v>11</v>
      </c>
    </row>
    <row r="4" spans="1:7" ht="14.25" x14ac:dyDescent="0.2">
      <c r="A4" s="7" t="s">
        <v>5</v>
      </c>
      <c r="B4" s="8" t="s">
        <v>59</v>
      </c>
      <c r="C4" s="238"/>
      <c r="D4" s="10"/>
      <c r="E4" s="12"/>
      <c r="F4" s="12"/>
    </row>
    <row r="5" spans="1:7" ht="14.25" x14ac:dyDescent="0.2">
      <c r="A5" s="7" t="s">
        <v>183</v>
      </c>
      <c r="B5" s="33" t="str">
        <f>CONCATENATE('FIXA - construção'!C2," - ",'FIXA - construção'!C3," e ", 'FIXA - construção'!C15)</f>
        <v>Mão de Obra - Gerência Técnica e  Gerência Administrativa</v>
      </c>
      <c r="C5" s="239" t="s">
        <v>14</v>
      </c>
      <c r="D5" s="5">
        <v>3</v>
      </c>
      <c r="E5" s="9">
        <f>IF(D5&gt;0,'FIXA - construção'!G25,0)</f>
        <v>43780.420525000001</v>
      </c>
      <c r="F5" s="9">
        <f>E5*D5</f>
        <v>131341.26157500001</v>
      </c>
    </row>
    <row r="6" spans="1:7" ht="14.25" x14ac:dyDescent="0.2">
      <c r="A6" s="7" t="s">
        <v>198</v>
      </c>
      <c r="B6" s="11" t="s">
        <v>27</v>
      </c>
      <c r="C6" s="239" t="s">
        <v>14</v>
      </c>
      <c r="D6" s="5">
        <v>3</v>
      </c>
      <c r="E6" s="12">
        <f>IF(D6&gt;0,'FIXA - construção'!J36,0)</f>
        <v>3437.8960000000002</v>
      </c>
      <c r="F6" s="9">
        <f>E6*D6</f>
        <v>10313.688</v>
      </c>
    </row>
    <row r="7" spans="1:7" ht="14.25" x14ac:dyDescent="0.2">
      <c r="A7" s="7"/>
      <c r="B7" s="8"/>
      <c r="C7" s="3"/>
      <c r="D7" s="5"/>
      <c r="E7" s="240" t="str">
        <f>CONCATENATE("Total ",B4,":")</f>
        <v>Total Parcela Fixa:</v>
      </c>
      <c r="F7" s="10">
        <f>SUM(F5:F6)</f>
        <v>141654.94957500001</v>
      </c>
    </row>
    <row r="8" spans="1:7" ht="14.25" x14ac:dyDescent="0.2">
      <c r="A8" s="7" t="s">
        <v>6</v>
      </c>
      <c r="B8" s="8" t="s">
        <v>60</v>
      </c>
      <c r="C8" s="238"/>
      <c r="D8" s="10"/>
      <c r="E8" s="12"/>
      <c r="F8" s="12"/>
    </row>
    <row r="9" spans="1:7" ht="14.25" x14ac:dyDescent="0.2">
      <c r="A9" s="7" t="s">
        <v>206</v>
      </c>
      <c r="B9" s="11" t="str">
        <f>CONCATENATE('VINCULADA - construção'!C2," - ",'VINCULADA - construção'!C12)</f>
        <v>Equipe de Produção - Mão de Obra de Pavimentação</v>
      </c>
      <c r="C9" s="239" t="s">
        <v>14</v>
      </c>
      <c r="D9" s="5">
        <v>0.5</v>
      </c>
      <c r="E9" s="12">
        <f>IF(D9&gt;0,'VINCULADA - construção'!J19,0)</f>
        <v>10584.106900000001</v>
      </c>
      <c r="F9" s="9">
        <f>E9*D9</f>
        <v>5292.0534500000003</v>
      </c>
    </row>
    <row r="10" spans="1:7" ht="14.25" x14ac:dyDescent="0.2">
      <c r="A10" s="7" t="s">
        <v>215</v>
      </c>
      <c r="B10" s="11" t="str">
        <f>'VINCULADA - construção'!C21</f>
        <v>Equipe de Topografia</v>
      </c>
      <c r="C10" s="239" t="s">
        <v>14</v>
      </c>
      <c r="D10" s="5">
        <v>3</v>
      </c>
      <c r="E10" s="12">
        <f>'VINCULADA - construção'!J30</f>
        <v>13859.931200000001</v>
      </c>
      <c r="F10" s="9">
        <f>E10*D10</f>
        <v>41579.793600000005</v>
      </c>
    </row>
    <row r="11" spans="1:7" ht="14.25" x14ac:dyDescent="0.2">
      <c r="A11" s="7" t="s">
        <v>357</v>
      </c>
      <c r="B11" s="11" t="s">
        <v>26</v>
      </c>
      <c r="C11" s="3" t="s">
        <v>14</v>
      </c>
      <c r="D11" s="5">
        <v>3</v>
      </c>
      <c r="E11" s="12">
        <f>IF(D11&gt;0,'VINCULADA - construção'!G35,0)</f>
        <v>6647.4265999999998</v>
      </c>
      <c r="F11" s="9">
        <f>E11*D11</f>
        <v>19942.2798</v>
      </c>
    </row>
    <row r="12" spans="1:7" ht="14.25" x14ac:dyDescent="0.2">
      <c r="A12" s="7"/>
      <c r="B12" s="8"/>
      <c r="C12" s="3"/>
      <c r="D12" s="5"/>
      <c r="E12" s="240" t="str">
        <f>CONCATENATE("Total ",B8,":")</f>
        <v>Total Parcela Vinculada:</v>
      </c>
      <c r="F12" s="10">
        <f>SUM(F9:F11)</f>
        <v>66814.126850000001</v>
      </c>
    </row>
    <row r="13" spans="1:7" ht="14.25" x14ac:dyDescent="0.2">
      <c r="A13" s="7" t="s">
        <v>7</v>
      </c>
      <c r="B13" s="8" t="s">
        <v>571</v>
      </c>
      <c r="C13" s="3"/>
      <c r="D13" s="5"/>
      <c r="E13" s="9"/>
      <c r="F13" s="12"/>
      <c r="G13" s="54"/>
    </row>
    <row r="14" spans="1:7" ht="14.25" x14ac:dyDescent="0.2">
      <c r="A14" s="7" t="s">
        <v>272</v>
      </c>
      <c r="B14" s="4" t="s">
        <v>61</v>
      </c>
      <c r="C14" s="3" t="s">
        <v>62</v>
      </c>
      <c r="D14" s="5">
        <f>'VARIÁVEL - FRENTES DE SERVIÇOS'!H52</f>
        <v>3</v>
      </c>
      <c r="E14" s="9">
        <f>'VARIÁVEL - FRENTES DE SERVIÇOS'!H7</f>
        <v>4886.2662499999997</v>
      </c>
      <c r="F14" s="9">
        <f t="shared" ref="F14" si="0">E14*D14</f>
        <v>14658.798749999998</v>
      </c>
      <c r="G14" s="54"/>
    </row>
    <row r="15" spans="1:7" ht="13.9" customHeight="1" x14ac:dyDescent="0.2">
      <c r="A15" s="7" t="s">
        <v>271</v>
      </c>
      <c r="B15" s="4" t="s">
        <v>63</v>
      </c>
      <c r="C15" s="3" t="s">
        <v>62</v>
      </c>
      <c r="D15" s="5">
        <f>'VARIÁVEL - CONTROLE TECNOLÓGICO'!R22</f>
        <v>1.19</v>
      </c>
      <c r="E15" s="9">
        <f>'VARIÁVEL - CONTROLE TECNOLÓGICO'!J23</f>
        <v>22264.643600000003</v>
      </c>
      <c r="F15" s="9">
        <f>E15*D15</f>
        <v>26494.925884000004</v>
      </c>
      <c r="G15" s="54"/>
    </row>
    <row r="16" spans="1:7" ht="14.25" x14ac:dyDescent="0.2">
      <c r="A16" s="7" t="s">
        <v>273</v>
      </c>
      <c r="B16" s="4" t="s">
        <v>64</v>
      </c>
      <c r="C16" s="3" t="s">
        <v>62</v>
      </c>
      <c r="D16" s="5">
        <f>'VARIÁVEL - CONTROLE TECNOLÓGICO'!R29</f>
        <v>0.02</v>
      </c>
      <c r="E16" s="9">
        <f>'VARIÁVEL - CONTROLE TECNOLÓGICO'!J35</f>
        <v>22264.643600000003</v>
      </c>
      <c r="F16" s="9">
        <f>E16*D16</f>
        <v>445.29287200000005</v>
      </c>
      <c r="G16" s="54"/>
    </row>
    <row r="17" spans="1:7" ht="14.25" x14ac:dyDescent="0.2">
      <c r="A17" s="7"/>
      <c r="B17" s="8"/>
      <c r="C17" s="3"/>
      <c r="D17" s="5"/>
      <c r="E17" s="240" t="str">
        <f>CONCATENATE("Total ",B13,":")</f>
        <v>Total Parcela Variável:</v>
      </c>
      <c r="F17" s="10">
        <f>SUM(F14:F16)</f>
        <v>41599.017505999997</v>
      </c>
    </row>
    <row r="18" spans="1:7" ht="14.25" x14ac:dyDescent="0.2">
      <c r="A18" s="7"/>
      <c r="B18" s="4"/>
      <c r="C18" s="3"/>
      <c r="D18" s="5"/>
      <c r="E18" s="9"/>
      <c r="F18" s="9"/>
    </row>
    <row r="19" spans="1:7" ht="14.25" x14ac:dyDescent="0.2">
      <c r="A19" s="7" t="s">
        <v>569</v>
      </c>
      <c r="B19" s="8" t="s">
        <v>235</v>
      </c>
      <c r="C19" s="3"/>
      <c r="D19" s="5"/>
      <c r="E19" s="9"/>
      <c r="F19" s="12"/>
      <c r="G19" s="54"/>
    </row>
    <row r="20" spans="1:7" ht="14.25" x14ac:dyDescent="0.2">
      <c r="A20" s="7" t="s">
        <v>570</v>
      </c>
      <c r="B20" s="4" t="s">
        <v>269</v>
      </c>
      <c r="C20" s="3" t="s">
        <v>14</v>
      </c>
      <c r="D20" s="5">
        <v>1</v>
      </c>
      <c r="E20" s="9">
        <f>MANUTENÇÃO!G13</f>
        <v>602.76</v>
      </c>
      <c r="F20" s="9">
        <f>E20*D20</f>
        <v>602.76</v>
      </c>
      <c r="G20" s="54"/>
    </row>
    <row r="21" spans="1:7" ht="14.25" x14ac:dyDescent="0.2">
      <c r="A21" s="7"/>
      <c r="B21" s="51"/>
      <c r="C21" s="13"/>
      <c r="D21" s="14"/>
      <c r="E21" s="240" t="str">
        <f>CONCATENATE("Total ",B19,":")</f>
        <v>Total Manutenção do Canteiro de Obras e Equipamentos:</v>
      </c>
      <c r="F21" s="10">
        <f>F20</f>
        <v>602.76</v>
      </c>
      <c r="G21" s="54"/>
    </row>
    <row r="22" spans="1:7" ht="14.25" x14ac:dyDescent="0.2">
      <c r="A22" s="7" t="s">
        <v>8</v>
      </c>
      <c r="B22" s="8" t="s">
        <v>65</v>
      </c>
      <c r="C22" s="3" t="s">
        <v>66</v>
      </c>
      <c r="D22" s="5">
        <v>5</v>
      </c>
      <c r="E22" s="9">
        <f>F21+F12+F17+F7</f>
        <v>250670.85393099999</v>
      </c>
      <c r="F22" s="243">
        <f>E22*0.05</f>
        <v>12533.542696550001</v>
      </c>
    </row>
    <row r="23" spans="1:7" ht="14.25" x14ac:dyDescent="0.2">
      <c r="A23" s="162"/>
      <c r="B23" s="162"/>
      <c r="C23" s="162"/>
      <c r="D23" s="162"/>
      <c r="E23" s="241" t="s">
        <v>737</v>
      </c>
      <c r="F23" s="242">
        <f>SUM(F7+F12+F17+F21+F22)</f>
        <v>263204.39662755001</v>
      </c>
      <c r="G23" s="54"/>
    </row>
    <row r="24" spans="1:7" ht="14.25" x14ac:dyDescent="0.2">
      <c r="A24" s="162"/>
      <c r="B24" s="162"/>
      <c r="C24" s="488" t="s">
        <v>735</v>
      </c>
      <c r="D24" s="489"/>
      <c r="E24" s="490"/>
      <c r="F24" s="242">
        <f>F23*1.2133</f>
        <v>319345.89442820643</v>
      </c>
      <c r="G24" s="54"/>
    </row>
    <row r="25" spans="1:7" ht="14.45" customHeight="1" x14ac:dyDescent="0.25">
      <c r="F25" s="245"/>
      <c r="G25" s="54"/>
    </row>
    <row r="26" spans="1:7" x14ac:dyDescent="0.25">
      <c r="F26" s="294"/>
      <c r="G26" s="54"/>
    </row>
  </sheetData>
  <mergeCells count="3">
    <mergeCell ref="C24:E24"/>
    <mergeCell ref="A1:F1"/>
    <mergeCell ref="A2:F2"/>
  </mergeCells>
  <printOptions horizontalCentered="1"/>
  <pageMargins left="0.78740157480314965" right="0.51181102362204722" top="0.78740157480314965" bottom="0.78740157480314965" header="0.31496062992125984" footer="0.31496062992125984"/>
  <pageSetup paperSize="9" scale="66" fitToHeight="0" orientation="portrait" r:id="rId1"/>
  <headerFooter>
    <oddFooter>&amp;C&amp;A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0000FF"/>
    <pageSetUpPr fitToPage="1"/>
  </sheetPr>
  <dimension ref="A1:P162"/>
  <sheetViews>
    <sheetView showGridLines="0" zoomScale="85" zoomScaleNormal="85" zoomScaleSheetLayoutView="85" workbookViewId="0">
      <selection activeCell="I31" sqref="I31"/>
    </sheetView>
  </sheetViews>
  <sheetFormatPr defaultColWidth="9.140625" defaultRowHeight="14.25" x14ac:dyDescent="0.2"/>
  <cols>
    <col min="1" max="1" width="11.28515625" style="231" bestFit="1" customWidth="1"/>
    <col min="2" max="2" width="13" style="231" customWidth="1"/>
    <col min="3" max="3" width="48.7109375" style="224" customWidth="1"/>
    <col min="4" max="4" width="9.7109375" style="225" customWidth="1"/>
    <col min="5" max="5" width="14.7109375" style="262" customWidth="1"/>
    <col min="6" max="6" width="13.85546875" style="253" customWidth="1"/>
    <col min="7" max="7" width="16.7109375" style="97" customWidth="1"/>
    <col min="8" max="8" width="13.85546875" style="138" customWidth="1"/>
    <col min="9" max="9" width="12" style="55" bestFit="1" customWidth="1"/>
    <col min="10" max="10" width="15.28515625" style="53" customWidth="1"/>
    <col min="11" max="11" width="86.5703125" style="53" customWidth="1"/>
    <col min="12" max="12" width="11.5703125" style="53" customWidth="1"/>
    <col min="13" max="13" width="9.140625" style="53"/>
    <col min="14" max="14" width="12" style="53" bestFit="1" customWidth="1"/>
    <col min="15" max="16384" width="9.140625" style="53"/>
  </cols>
  <sheetData>
    <row r="1" spans="1:11" s="18" customFormat="1" ht="37.9" customHeight="1" x14ac:dyDescent="0.25">
      <c r="A1" s="332" t="s">
        <v>1</v>
      </c>
      <c r="B1" s="332" t="s">
        <v>257</v>
      </c>
      <c r="C1" s="333" t="s">
        <v>9</v>
      </c>
      <c r="D1" s="332" t="s">
        <v>2</v>
      </c>
      <c r="E1" s="334" t="s">
        <v>3</v>
      </c>
      <c r="F1" s="335" t="s">
        <v>10</v>
      </c>
      <c r="G1" s="336" t="s">
        <v>316</v>
      </c>
      <c r="H1" s="132"/>
      <c r="I1" s="86"/>
    </row>
    <row r="2" spans="1:11" s="18" customFormat="1" ht="15" x14ac:dyDescent="0.25">
      <c r="A2" s="61" t="s">
        <v>315</v>
      </c>
      <c r="B2" s="61"/>
      <c r="C2" s="80" t="s">
        <v>12</v>
      </c>
      <c r="D2" s="67"/>
      <c r="E2" s="234"/>
      <c r="F2" s="59"/>
      <c r="G2" s="71"/>
      <c r="H2" s="132"/>
      <c r="I2" s="72"/>
    </row>
    <row r="3" spans="1:11" s="18" customFormat="1" ht="15" x14ac:dyDescent="0.25">
      <c r="A3" s="61" t="s">
        <v>291</v>
      </c>
      <c r="B3" s="61"/>
      <c r="C3" s="80" t="s">
        <v>13</v>
      </c>
      <c r="D3" s="145"/>
      <c r="E3" s="87"/>
      <c r="F3" s="59"/>
      <c r="G3" s="71"/>
      <c r="H3" s="132"/>
      <c r="I3" s="86"/>
    </row>
    <row r="4" spans="1:11" s="18" customFormat="1" ht="15" x14ac:dyDescent="0.25">
      <c r="A4" s="61" t="s">
        <v>297</v>
      </c>
      <c r="B4" s="61"/>
      <c r="C4" s="80" t="s">
        <v>15</v>
      </c>
      <c r="D4" s="145"/>
      <c r="E4" s="87"/>
      <c r="F4" s="59"/>
      <c r="G4" s="71"/>
      <c r="H4" s="132"/>
      <c r="I4" s="86"/>
    </row>
    <row r="5" spans="1:11" s="18" customFormat="1" x14ac:dyDescent="0.25">
      <c r="A5" s="67" t="s">
        <v>298</v>
      </c>
      <c r="B5" s="69" t="s">
        <v>144</v>
      </c>
      <c r="C5" s="56" t="s">
        <v>610</v>
      </c>
      <c r="D5" s="57" t="s">
        <v>611</v>
      </c>
      <c r="E5" s="87">
        <v>0.25</v>
      </c>
      <c r="F5" s="327">
        <f>VLOOKUP(B5,MO!$A$5:$F$114,6,0)</f>
        <v>24942.2317</v>
      </c>
      <c r="G5" s="351">
        <f>F5*E5</f>
        <v>6235.5579250000001</v>
      </c>
      <c r="H5" s="132"/>
      <c r="I5" s="86"/>
      <c r="K5" s="89"/>
    </row>
    <row r="6" spans="1:11" s="18" customFormat="1" ht="13.9" customHeight="1" x14ac:dyDescent="0.25">
      <c r="A6" s="67" t="s">
        <v>299</v>
      </c>
      <c r="B6" s="69" t="str">
        <f>'TABELAS DE REFERÊNCIA'!B117</f>
        <v>P9840</v>
      </c>
      <c r="C6" s="56" t="s">
        <v>612</v>
      </c>
      <c r="D6" s="57" t="s">
        <v>611</v>
      </c>
      <c r="E6" s="87">
        <v>1</v>
      </c>
      <c r="F6" s="327">
        <f>VLOOKUP(B6,MO!$A$5:$F$114,6,0)</f>
        <v>11641.9319</v>
      </c>
      <c r="G6" s="140">
        <f t="shared" ref="G6:G8" si="0">F6*E6</f>
        <v>11641.9319</v>
      </c>
      <c r="H6" s="133"/>
      <c r="I6" s="103"/>
      <c r="J6" s="89"/>
    </row>
    <row r="7" spans="1:11" s="18" customFormat="1" ht="13.9" customHeight="1" x14ac:dyDescent="0.25">
      <c r="A7" s="67" t="s">
        <v>300</v>
      </c>
      <c r="B7" s="69" t="str">
        <f>'TABELAS DE REFERÊNCIA'!B118</f>
        <v>P9897</v>
      </c>
      <c r="C7" s="56" t="s">
        <v>613</v>
      </c>
      <c r="D7" s="57" t="s">
        <v>611</v>
      </c>
      <c r="E7" s="87">
        <v>0</v>
      </c>
      <c r="F7" s="327">
        <f>VLOOKUP(B7,MO!$A$5:$F$114,6,0)</f>
        <v>7209.8624</v>
      </c>
      <c r="G7" s="140">
        <f t="shared" si="0"/>
        <v>0</v>
      </c>
      <c r="H7" s="133"/>
      <c r="I7" s="86"/>
      <c r="J7" s="89"/>
      <c r="K7" s="89"/>
    </row>
    <row r="8" spans="1:11" s="18" customFormat="1" ht="13.9" customHeight="1" x14ac:dyDescent="0.25">
      <c r="A8" s="67" t="s">
        <v>301</v>
      </c>
      <c r="B8" s="69" t="str">
        <f>'TABELAS DE REFERÊNCIA'!B120</f>
        <v>P9878</v>
      </c>
      <c r="C8" s="56" t="s">
        <v>614</v>
      </c>
      <c r="D8" s="57" t="s">
        <v>611</v>
      </c>
      <c r="E8" s="87">
        <v>0</v>
      </c>
      <c r="F8" s="327">
        <f>VLOOKUP(B8,MO!$A$5:$F$114,6,0)</f>
        <v>6002.6715000000004</v>
      </c>
      <c r="G8" s="140">
        <f t="shared" si="0"/>
        <v>0</v>
      </c>
      <c r="H8" s="133"/>
      <c r="I8" s="86"/>
      <c r="J8" s="89"/>
    </row>
    <row r="9" spans="1:11" s="18" customFormat="1" ht="14.45" customHeight="1" x14ac:dyDescent="0.25">
      <c r="A9" s="154"/>
      <c r="B9" s="69"/>
      <c r="C9" s="156"/>
      <c r="D9" s="352"/>
      <c r="E9" s="235"/>
      <c r="F9" s="170" t="str">
        <f>CONCATENATE("Total do Item ",$C$2," - ",C3," ",C4,":")</f>
        <v>Total do Item Mão de Obra - Gerência Técnica Geral:</v>
      </c>
      <c r="G9" s="141">
        <f>SUM(G5:G8)</f>
        <v>17877.489825000001</v>
      </c>
      <c r="H9" s="133"/>
      <c r="I9" s="86"/>
      <c r="K9" s="89"/>
    </row>
    <row r="10" spans="1:11" s="18" customFormat="1" ht="14.45" customHeight="1" x14ac:dyDescent="0.25">
      <c r="A10" s="61" t="s">
        <v>302</v>
      </c>
      <c r="B10" s="69"/>
      <c r="C10" s="80" t="s">
        <v>18</v>
      </c>
      <c r="D10" s="145"/>
      <c r="E10" s="87"/>
      <c r="F10" s="59"/>
      <c r="G10" s="142"/>
      <c r="H10" s="133"/>
      <c r="I10" s="86"/>
      <c r="K10" s="89"/>
    </row>
    <row r="11" spans="1:11" s="18" customFormat="1" ht="14.45" customHeight="1" x14ac:dyDescent="0.25">
      <c r="A11" s="67" t="s">
        <v>303</v>
      </c>
      <c r="B11" s="69" t="str">
        <f>'TABELAS DE REFERÊNCIA'!B128</f>
        <v>P9946</v>
      </c>
      <c r="C11" s="56" t="s">
        <v>615</v>
      </c>
      <c r="D11" s="57" t="s">
        <v>611</v>
      </c>
      <c r="E11" s="87">
        <v>1</v>
      </c>
      <c r="F11" s="327">
        <f>VLOOKUP(B11,MO!$A$5:$F$114,6,0)</f>
        <v>21038.369699999999</v>
      </c>
      <c r="G11" s="351">
        <f>F11*E11</f>
        <v>21038.369699999999</v>
      </c>
      <c r="H11" s="133"/>
      <c r="I11" s="86"/>
    </row>
    <row r="12" spans="1:11" s="18" customFormat="1" ht="14.45" customHeight="1" x14ac:dyDescent="0.25">
      <c r="A12" s="67" t="s">
        <v>304</v>
      </c>
      <c r="B12" s="69" t="str">
        <f>'TABELAS DE REFERÊNCIA'!B129</f>
        <v>P9903</v>
      </c>
      <c r="C12" s="56" t="s">
        <v>616</v>
      </c>
      <c r="D12" s="57" t="s">
        <v>611</v>
      </c>
      <c r="E12" s="87">
        <v>0</v>
      </c>
      <c r="F12" s="327">
        <f>VLOOKUP(B12,MO!$A$5:$F$114,6,0)</f>
        <v>4610.3001000000004</v>
      </c>
      <c r="G12" s="139">
        <f>F12*E12</f>
        <v>0</v>
      </c>
      <c r="H12" s="133"/>
      <c r="I12" s="86"/>
      <c r="J12" s="89"/>
      <c r="K12" s="89"/>
    </row>
    <row r="13" spans="1:11" s="18" customFormat="1" ht="14.45" customHeight="1" x14ac:dyDescent="0.2">
      <c r="A13" s="154"/>
      <c r="B13" s="69"/>
      <c r="C13" s="156"/>
      <c r="D13" s="352"/>
      <c r="E13" s="235"/>
      <c r="F13" s="170" t="str">
        <f>CONCATENATE("Total do Item ",$C$2," - ",C3," ",C10,":")</f>
        <v>Total do Item Mão de Obra - Gerência Técnica Auxiliar:</v>
      </c>
      <c r="G13" s="141">
        <f>SUM(G11:G12)</f>
        <v>21038.369699999999</v>
      </c>
      <c r="H13" s="133"/>
      <c r="I13" s="104"/>
      <c r="K13" s="89"/>
    </row>
    <row r="14" spans="1:11" s="18" customFormat="1" ht="15" x14ac:dyDescent="0.2">
      <c r="A14" s="154"/>
      <c r="B14" s="69"/>
      <c r="C14" s="156"/>
      <c r="D14" s="352"/>
      <c r="E14" s="235"/>
      <c r="F14" s="170" t="str">
        <f>CONCATENATE("Total do Item ",C2," - ",C3,":")</f>
        <v>Total do Item Mão de Obra - Gerência Técnica:</v>
      </c>
      <c r="G14" s="141">
        <f>G13+G9</f>
        <v>38915.859525</v>
      </c>
      <c r="H14" s="133"/>
      <c r="I14" s="104"/>
    </row>
    <row r="15" spans="1:11" s="18" customFormat="1" ht="15" x14ac:dyDescent="0.2">
      <c r="A15" s="61" t="s">
        <v>305</v>
      </c>
      <c r="B15" s="69"/>
      <c r="C15" s="80" t="s">
        <v>545</v>
      </c>
      <c r="D15" s="145"/>
      <c r="E15" s="87"/>
      <c r="F15" s="59"/>
      <c r="G15" s="142"/>
      <c r="H15" s="133"/>
      <c r="I15" s="104"/>
      <c r="K15" s="89"/>
    </row>
    <row r="16" spans="1:11" s="18" customFormat="1" ht="15" x14ac:dyDescent="0.2">
      <c r="A16" s="61" t="s">
        <v>306</v>
      </c>
      <c r="B16" s="69"/>
      <c r="C16" s="80" t="s">
        <v>15</v>
      </c>
      <c r="D16" s="145"/>
      <c r="E16" s="87"/>
      <c r="F16" s="59"/>
      <c r="G16" s="142"/>
      <c r="H16" s="133"/>
      <c r="I16" s="104"/>
      <c r="K16" s="89"/>
    </row>
    <row r="17" spans="1:12" s="18" customFormat="1" x14ac:dyDescent="0.2">
      <c r="A17" s="67" t="s">
        <v>307</v>
      </c>
      <c r="B17" s="69" t="str">
        <f>'TABELAS DE REFERÊNCIA'!B135</f>
        <v>P9883</v>
      </c>
      <c r="C17" s="56" t="s">
        <v>617</v>
      </c>
      <c r="D17" s="57" t="s">
        <v>611</v>
      </c>
      <c r="E17" s="87">
        <v>0</v>
      </c>
      <c r="F17" s="327">
        <f>VLOOKUP(B17,MO!$A$5:$F$114,6,0)</f>
        <v>8334.7533999999996</v>
      </c>
      <c r="G17" s="121">
        <f>F17*E17</f>
        <v>0</v>
      </c>
      <c r="H17" s="133"/>
      <c r="I17" s="104"/>
    </row>
    <row r="18" spans="1:12" s="18" customFormat="1" x14ac:dyDescent="0.25">
      <c r="A18" s="67" t="s">
        <v>308</v>
      </c>
      <c r="B18" s="69" t="str">
        <f>'TABELAS DE REFERÊNCIA'!B138</f>
        <v>P9827</v>
      </c>
      <c r="C18" s="56" t="s">
        <v>618</v>
      </c>
      <c r="D18" s="57" t="s">
        <v>611</v>
      </c>
      <c r="E18" s="87">
        <v>1</v>
      </c>
      <c r="F18" s="327">
        <f>VLOOKUP(B18,MO!$A$5:$F$114,6,0)</f>
        <v>4864.5609999999997</v>
      </c>
      <c r="G18" s="121">
        <f t="shared" ref="G18" si="1">F18*E18</f>
        <v>4864.5609999999997</v>
      </c>
      <c r="H18" s="133"/>
      <c r="I18" s="86"/>
      <c r="J18" s="89"/>
    </row>
    <row r="19" spans="1:12" s="18" customFormat="1" ht="15" x14ac:dyDescent="0.25">
      <c r="A19" s="154"/>
      <c r="B19" s="69"/>
      <c r="C19" s="156"/>
      <c r="D19" s="352"/>
      <c r="E19" s="235"/>
      <c r="F19" s="170" t="str">
        <f>CONCATENATE("Total do Item ",$C$2," - ",C16,":")</f>
        <v>Total do Item Mão de Obra - Geral:</v>
      </c>
      <c r="G19" s="141">
        <f>SUM(G17:G18)</f>
        <v>4864.5609999999997</v>
      </c>
      <c r="H19" s="133"/>
      <c r="I19" s="86"/>
    </row>
    <row r="20" spans="1:12" s="18" customFormat="1" ht="15" x14ac:dyDescent="0.25">
      <c r="A20" s="61" t="s">
        <v>309</v>
      </c>
      <c r="B20" s="69"/>
      <c r="C20" s="80" t="s">
        <v>18</v>
      </c>
      <c r="D20" s="145" t="s">
        <v>14</v>
      </c>
      <c r="E20" s="87"/>
      <c r="F20" s="59"/>
      <c r="G20" s="142"/>
      <c r="H20" s="133"/>
      <c r="I20" s="86"/>
    </row>
    <row r="21" spans="1:12" s="18" customFormat="1" x14ac:dyDescent="0.25">
      <c r="A21" s="67" t="s">
        <v>307</v>
      </c>
      <c r="B21" s="69" t="str">
        <f>'TABELAS DE REFERÊNCIA'!B144</f>
        <v>P9806</v>
      </c>
      <c r="C21" s="56" t="s">
        <v>619</v>
      </c>
      <c r="D21" s="57" t="s">
        <v>611</v>
      </c>
      <c r="E21" s="87">
        <v>0</v>
      </c>
      <c r="F21" s="327">
        <f>VLOOKUP(B21,MO!$A$5:$F$114,6,0)</f>
        <v>4593.5333000000001</v>
      </c>
      <c r="G21" s="121">
        <f>F21*E21</f>
        <v>0</v>
      </c>
      <c r="H21" s="133"/>
      <c r="I21" s="86"/>
    </row>
    <row r="22" spans="1:12" s="18" customFormat="1" x14ac:dyDescent="0.25">
      <c r="A22" s="67" t="s">
        <v>308</v>
      </c>
      <c r="B22" s="69" t="str">
        <f>'TABELAS DE REFERÊNCIA'!B145</f>
        <v>P9842</v>
      </c>
      <c r="C22" s="56" t="s">
        <v>620</v>
      </c>
      <c r="D22" s="57" t="s">
        <v>611</v>
      </c>
      <c r="E22" s="87">
        <v>0</v>
      </c>
      <c r="F22" s="327">
        <f>VLOOKUP(B22,MO!$A$5:$F$114,6,0)</f>
        <v>3982.3008</v>
      </c>
      <c r="G22" s="121">
        <f>F22*E22</f>
        <v>0</v>
      </c>
      <c r="H22" s="133"/>
      <c r="I22" s="86"/>
    </row>
    <row r="23" spans="1:12" s="18" customFormat="1" ht="15" x14ac:dyDescent="0.25">
      <c r="A23" s="154"/>
      <c r="B23" s="69"/>
      <c r="C23" s="156"/>
      <c r="D23" s="352"/>
      <c r="E23" s="235"/>
      <c r="F23" s="170" t="str">
        <f>CONCATENATE("Total do Item ",$C$2," - ",C20,":")</f>
        <v>Total do Item Mão de Obra - Auxiliar:</v>
      </c>
      <c r="G23" s="141">
        <f>SUM(G21:G22)</f>
        <v>0</v>
      </c>
      <c r="H23" s="132"/>
      <c r="I23" s="86"/>
    </row>
    <row r="24" spans="1:12" s="18" customFormat="1" ht="15" x14ac:dyDescent="0.25">
      <c r="A24" s="154"/>
      <c r="B24" s="69"/>
      <c r="C24" s="156"/>
      <c r="D24" s="352"/>
      <c r="E24" s="235"/>
      <c r="F24" s="170" t="str">
        <f>CONCATENATE("Total do Item ",$C$2," - ",C15,":")</f>
        <v>Total do Item Mão de Obra -  Gerência Administrativa:</v>
      </c>
      <c r="G24" s="141">
        <f>G19+G23</f>
        <v>4864.5609999999997</v>
      </c>
      <c r="H24" s="132"/>
      <c r="I24" s="86"/>
    </row>
    <row r="25" spans="1:12" s="18" customFormat="1" ht="15" x14ac:dyDescent="0.25">
      <c r="A25" s="154"/>
      <c r="B25" s="69"/>
      <c r="C25" s="156"/>
      <c r="D25" s="352"/>
      <c r="E25" s="235"/>
      <c r="F25" s="170" t="str">
        <f>CONCATENATE("Total do Item ",$C$2," - ",C3," e", C15,":")</f>
        <v>Total do Item Mão de Obra - Gerência Técnica e Gerência Administrativa:</v>
      </c>
      <c r="G25" s="143">
        <f>G24+G14</f>
        <v>43780.420525000001</v>
      </c>
      <c r="H25" s="93"/>
      <c r="I25" s="86"/>
    </row>
    <row r="26" spans="1:12" s="18" customFormat="1" ht="15" x14ac:dyDescent="0.25">
      <c r="A26" s="502" t="s">
        <v>310</v>
      </c>
      <c r="B26" s="513"/>
      <c r="C26" s="504" t="s">
        <v>27</v>
      </c>
      <c r="D26" s="502" t="s">
        <v>2</v>
      </c>
      <c r="E26" s="506" t="s">
        <v>3</v>
      </c>
      <c r="F26" s="508" t="s">
        <v>242</v>
      </c>
      <c r="G26" s="511" t="s">
        <v>243</v>
      </c>
      <c r="H26" s="510" t="s">
        <v>29</v>
      </c>
      <c r="I26" s="510"/>
      <c r="J26" s="500" t="s">
        <v>265</v>
      </c>
      <c r="K26" s="106"/>
    </row>
    <row r="27" spans="1:12" s="18" customFormat="1" ht="15" x14ac:dyDescent="0.25">
      <c r="A27" s="503"/>
      <c r="B27" s="514"/>
      <c r="C27" s="505"/>
      <c r="D27" s="503"/>
      <c r="E27" s="507"/>
      <c r="F27" s="509"/>
      <c r="G27" s="512"/>
      <c r="H27" s="134" t="s">
        <v>30</v>
      </c>
      <c r="I27" s="396" t="s">
        <v>31</v>
      </c>
      <c r="J27" s="501"/>
    </row>
    <row r="28" spans="1:12" s="18" customFormat="1" ht="15" x14ac:dyDescent="0.25">
      <c r="A28" s="61" t="s">
        <v>295</v>
      </c>
      <c r="B28" s="69"/>
      <c r="C28" s="80" t="s">
        <v>13</v>
      </c>
      <c r="D28" s="145" t="s">
        <v>14</v>
      </c>
      <c r="E28" s="87"/>
      <c r="F28" s="59"/>
      <c r="G28" s="71"/>
      <c r="H28" s="135"/>
      <c r="I28" s="105"/>
      <c r="J28" s="124"/>
    </row>
    <row r="29" spans="1:12" s="18" customFormat="1" ht="15" x14ac:dyDescent="0.25">
      <c r="A29" s="61" t="s">
        <v>311</v>
      </c>
      <c r="B29" s="69"/>
      <c r="C29" s="80" t="s">
        <v>15</v>
      </c>
      <c r="D29" s="145" t="s">
        <v>14</v>
      </c>
      <c r="E29" s="87"/>
      <c r="F29" s="59"/>
      <c r="G29" s="71"/>
      <c r="H29" s="135"/>
      <c r="I29" s="105"/>
      <c r="J29" s="124"/>
      <c r="L29" s="88"/>
    </row>
    <row r="30" spans="1:12" s="18" customFormat="1" x14ac:dyDescent="0.2">
      <c r="A30" s="90" t="s">
        <v>312</v>
      </c>
      <c r="B30" s="69" t="str">
        <f>'TABELAS DE REFERÊNCIA'!B122</f>
        <v>E9093</v>
      </c>
      <c r="C30" s="56" t="s">
        <v>621</v>
      </c>
      <c r="D30" s="57" t="s">
        <v>364</v>
      </c>
      <c r="E30" s="87">
        <v>1.25</v>
      </c>
      <c r="F30" s="70">
        <v>44</v>
      </c>
      <c r="G30" s="70">
        <f>220-F30</f>
        <v>176</v>
      </c>
      <c r="H30" s="430">
        <v>36.255600000000001</v>
      </c>
      <c r="I30" s="430">
        <v>6.5629</v>
      </c>
      <c r="J30" s="142">
        <f>E30*((F30*H30)+(G30*I30))</f>
        <v>3437.8960000000002</v>
      </c>
      <c r="K30" s="131"/>
    </row>
    <row r="31" spans="1:12" s="18" customFormat="1" ht="15" x14ac:dyDescent="0.25">
      <c r="A31" s="154"/>
      <c r="B31" s="69"/>
      <c r="C31" s="156"/>
      <c r="D31" s="352"/>
      <c r="E31" s="235"/>
      <c r="F31" s="246"/>
      <c r="G31" s="246"/>
      <c r="H31" s="264"/>
      <c r="I31" s="170" t="str">
        <f>CONCATENATE("Total do Item ",$C$26," - ",C28," ",C29,":")</f>
        <v>Total do Item Veículos - Gerência Técnica Geral:</v>
      </c>
      <c r="J31" s="141">
        <f>SUM(J30:J30)</f>
        <v>3437.8960000000002</v>
      </c>
      <c r="K31" s="148"/>
    </row>
    <row r="32" spans="1:12" s="18" customFormat="1" ht="15" x14ac:dyDescent="0.25">
      <c r="A32" s="61" t="s">
        <v>313</v>
      </c>
      <c r="B32" s="69"/>
      <c r="C32" s="80" t="s">
        <v>18</v>
      </c>
      <c r="D32" s="145" t="s">
        <v>14</v>
      </c>
      <c r="E32" s="87"/>
      <c r="F32" s="59"/>
      <c r="G32" s="59"/>
      <c r="H32" s="328"/>
      <c r="I32" s="329"/>
      <c r="J32" s="120"/>
      <c r="K32" s="148"/>
    </row>
    <row r="33" spans="1:11" s="18" customFormat="1" x14ac:dyDescent="0.2">
      <c r="A33" s="67" t="s">
        <v>314</v>
      </c>
      <c r="B33" s="69" t="str">
        <f>'TABELAS DE REFERÊNCIA'!B131</f>
        <v>E9093</v>
      </c>
      <c r="C33" s="56" t="s">
        <v>621</v>
      </c>
      <c r="D33" s="57" t="s">
        <v>364</v>
      </c>
      <c r="E33" s="87">
        <v>0</v>
      </c>
      <c r="F33" s="70">
        <v>44</v>
      </c>
      <c r="G33" s="70">
        <f>220-F33</f>
        <v>176</v>
      </c>
      <c r="H33" s="430">
        <f>H30</f>
        <v>36.255600000000001</v>
      </c>
      <c r="I33" s="430">
        <f>I30</f>
        <v>6.5629</v>
      </c>
      <c r="J33" s="120">
        <f>E33*((F33*H33)+(G33*I33))</f>
        <v>0</v>
      </c>
      <c r="K33" s="148"/>
    </row>
    <row r="34" spans="1:11" s="18" customFormat="1" x14ac:dyDescent="0.25">
      <c r="A34" s="67"/>
      <c r="B34" s="69"/>
      <c r="C34" s="211"/>
      <c r="D34" s="107"/>
      <c r="E34" s="257"/>
      <c r="F34" s="108"/>
      <c r="G34" s="108"/>
      <c r="H34" s="264"/>
      <c r="I34" s="331"/>
      <c r="J34" s="120"/>
      <c r="K34" s="148"/>
    </row>
    <row r="35" spans="1:11" s="18" customFormat="1" ht="15" x14ac:dyDescent="0.25">
      <c r="A35" s="154"/>
      <c r="B35" s="69"/>
      <c r="C35" s="156"/>
      <c r="D35" s="352"/>
      <c r="E35" s="235"/>
      <c r="F35" s="246"/>
      <c r="G35" s="246"/>
      <c r="H35" s="264"/>
      <c r="I35" s="170" t="str">
        <f>CONCATENATE("Total do Item ",$C$26," - ",C28," ",C32,":")</f>
        <v>Total do Item Veículos - Gerência Técnica Auxiliar:</v>
      </c>
      <c r="J35" s="141">
        <f>SUM(J33)</f>
        <v>0</v>
      </c>
      <c r="K35" s="148"/>
    </row>
    <row r="36" spans="1:11" s="18" customFormat="1" ht="15" x14ac:dyDescent="0.25">
      <c r="A36" s="154"/>
      <c r="B36" s="69"/>
      <c r="C36" s="156"/>
      <c r="D36" s="352"/>
      <c r="E36" s="235"/>
      <c r="F36" s="246"/>
      <c r="G36" s="91"/>
      <c r="H36" s="136"/>
      <c r="I36" s="92" t="str">
        <f>CONCATENATE("Total ",$C$26," - Parcela Fixa ",":")</f>
        <v>Total Veículos - Parcela Fixa :</v>
      </c>
      <c r="J36" s="143">
        <f>+J35+J31</f>
        <v>3437.8960000000002</v>
      </c>
    </row>
    <row r="37" spans="1:11" s="18" customFormat="1" ht="18.75" customHeight="1" x14ac:dyDescent="0.25">
      <c r="A37" s="247"/>
      <c r="B37" s="247"/>
      <c r="C37" s="248"/>
      <c r="D37" s="249"/>
      <c r="E37" s="258"/>
      <c r="F37" s="250"/>
      <c r="G37" s="109"/>
      <c r="H37" s="137"/>
      <c r="I37" s="110"/>
      <c r="K37" s="118"/>
    </row>
    <row r="38" spans="1:11" s="18" customFormat="1" ht="15" x14ac:dyDescent="0.25">
      <c r="A38" s="497" t="s">
        <v>350</v>
      </c>
      <c r="B38" s="498"/>
      <c r="C38" s="498"/>
      <c r="D38" s="498"/>
      <c r="E38" s="498"/>
      <c r="F38" s="498"/>
      <c r="G38" s="498"/>
      <c r="H38" s="498"/>
      <c r="I38" s="499"/>
      <c r="J38" s="143">
        <f>ROUND((SUM(E5:E8,E11:E12,E17:E18,E21:E22)),0)</f>
        <v>3</v>
      </c>
    </row>
    <row r="39" spans="1:11" s="18" customFormat="1" ht="27" customHeight="1" x14ac:dyDescent="0.2">
      <c r="A39" s="208"/>
      <c r="B39" s="178"/>
      <c r="C39" s="178"/>
      <c r="D39" s="178"/>
      <c r="E39" s="259"/>
      <c r="F39" s="252"/>
      <c r="G39" s="93"/>
      <c r="H39" s="93"/>
      <c r="I39" s="93"/>
      <c r="J39" s="118"/>
      <c r="K39" s="114"/>
    </row>
    <row r="40" spans="1:11" s="18" customFormat="1" ht="18.75" customHeight="1" x14ac:dyDescent="0.2">
      <c r="A40" s="208"/>
      <c r="B40" s="178"/>
      <c r="C40" s="178"/>
      <c r="D40" s="178"/>
      <c r="E40" s="260"/>
      <c r="F40" s="252"/>
      <c r="G40" s="93"/>
      <c r="H40" s="93"/>
      <c r="I40" s="93"/>
      <c r="J40" s="111"/>
      <c r="K40" s="114"/>
    </row>
    <row r="41" spans="1:11" s="18" customFormat="1" x14ac:dyDescent="0.2">
      <c r="A41" s="208"/>
      <c r="B41" s="94"/>
      <c r="C41" s="112"/>
      <c r="D41" s="94"/>
      <c r="E41" s="261"/>
      <c r="F41" s="148"/>
      <c r="G41" s="113"/>
      <c r="H41" s="138"/>
      <c r="I41" s="97"/>
      <c r="J41" s="114"/>
      <c r="K41" s="114"/>
    </row>
    <row r="42" spans="1:11" s="18" customFormat="1" x14ac:dyDescent="0.2">
      <c r="A42" s="208"/>
      <c r="B42" s="94"/>
      <c r="C42" s="112"/>
      <c r="D42" s="94"/>
      <c r="E42" s="261"/>
      <c r="F42" s="148"/>
      <c r="G42" s="113"/>
      <c r="H42" s="138"/>
      <c r="I42" s="97"/>
      <c r="J42" s="114"/>
      <c r="K42" s="114"/>
    </row>
    <row r="43" spans="1:11" s="18" customFormat="1" x14ac:dyDescent="0.2">
      <c r="A43" s="208"/>
      <c r="B43" s="94"/>
      <c r="C43" s="112"/>
      <c r="D43" s="94"/>
      <c r="E43" s="261"/>
      <c r="F43" s="148"/>
      <c r="G43" s="113"/>
      <c r="H43" s="138"/>
      <c r="I43" s="97"/>
      <c r="J43" s="114"/>
      <c r="K43" s="114"/>
    </row>
    <row r="44" spans="1:11" s="18" customFormat="1" x14ac:dyDescent="0.2">
      <c r="A44" s="208"/>
      <c r="B44" s="94"/>
      <c r="C44" s="112"/>
      <c r="D44" s="94"/>
      <c r="E44" s="261"/>
      <c r="F44" s="148"/>
      <c r="G44" s="113"/>
      <c r="H44" s="138"/>
      <c r="I44" s="97"/>
      <c r="J44" s="114"/>
      <c r="K44" s="114"/>
    </row>
    <row r="45" spans="1:11" s="18" customFormat="1" x14ac:dyDescent="0.2">
      <c r="A45" s="208"/>
      <c r="B45" s="94"/>
      <c r="C45" s="112"/>
      <c r="D45" s="94"/>
      <c r="E45" s="261"/>
      <c r="F45" s="148"/>
      <c r="G45" s="113"/>
      <c r="H45" s="138"/>
      <c r="I45" s="97"/>
      <c r="J45" s="114"/>
      <c r="K45" s="114"/>
    </row>
    <row r="46" spans="1:11" s="18" customFormat="1" x14ac:dyDescent="0.2">
      <c r="A46" s="208"/>
      <c r="B46" s="94"/>
      <c r="C46" s="112"/>
      <c r="D46" s="94"/>
      <c r="E46" s="261"/>
      <c r="F46" s="148"/>
      <c r="G46" s="113"/>
      <c r="H46" s="138"/>
      <c r="I46" s="97"/>
      <c r="J46" s="114"/>
      <c r="K46" s="114"/>
    </row>
    <row r="47" spans="1:11" s="18" customFormat="1" x14ac:dyDescent="0.2">
      <c r="A47" s="208"/>
      <c r="B47" s="94"/>
      <c r="C47" s="112"/>
      <c r="D47" s="94"/>
      <c r="E47" s="261"/>
      <c r="F47" s="148"/>
      <c r="G47" s="113"/>
      <c r="H47" s="138"/>
      <c r="I47" s="97"/>
      <c r="J47" s="114"/>
      <c r="K47" s="114"/>
    </row>
    <row r="48" spans="1:11" s="18" customFormat="1" x14ac:dyDescent="0.2">
      <c r="A48" s="208"/>
      <c r="B48" s="94"/>
      <c r="C48" s="112"/>
      <c r="D48" s="94"/>
      <c r="E48" s="261"/>
      <c r="F48" s="148"/>
      <c r="G48" s="113"/>
      <c r="H48" s="138"/>
      <c r="I48" s="97"/>
      <c r="J48" s="114"/>
      <c r="K48" s="114"/>
    </row>
    <row r="49" spans="1:16" s="18" customFormat="1" x14ac:dyDescent="0.2">
      <c r="A49" s="208"/>
      <c r="B49" s="94"/>
      <c r="C49" s="112"/>
      <c r="D49" s="94"/>
      <c r="E49" s="261"/>
      <c r="F49" s="148"/>
      <c r="G49" s="113"/>
      <c r="H49" s="138"/>
      <c r="I49" s="97"/>
      <c r="J49" s="114"/>
      <c r="K49" s="114"/>
    </row>
    <row r="50" spans="1:16" s="18" customFormat="1" x14ac:dyDescent="0.2">
      <c r="A50" s="208"/>
      <c r="B50" s="94"/>
      <c r="C50" s="112"/>
      <c r="D50" s="94"/>
      <c r="E50" s="261"/>
      <c r="F50" s="148"/>
      <c r="G50" s="113"/>
      <c r="H50" s="138"/>
      <c r="I50" s="97"/>
      <c r="J50" s="114"/>
      <c r="K50" s="114"/>
    </row>
    <row r="51" spans="1:16" x14ac:dyDescent="0.2">
      <c r="B51" s="94"/>
      <c r="C51" s="112"/>
      <c r="D51" s="94"/>
      <c r="E51" s="261"/>
      <c r="G51" s="113"/>
      <c r="I51" s="97"/>
      <c r="J51" s="114"/>
      <c r="K51" s="114"/>
      <c r="L51" s="18"/>
    </row>
    <row r="52" spans="1:16" x14ac:dyDescent="0.2">
      <c r="B52" s="94"/>
      <c r="C52" s="112"/>
      <c r="D52" s="94"/>
      <c r="E52" s="261"/>
      <c r="G52" s="113"/>
      <c r="I52" s="97"/>
      <c r="J52" s="114"/>
      <c r="K52" s="114"/>
      <c r="L52" s="18"/>
    </row>
    <row r="53" spans="1:16" x14ac:dyDescent="0.2">
      <c r="B53" s="94"/>
      <c r="C53" s="112"/>
      <c r="D53" s="94"/>
      <c r="E53" s="261"/>
      <c r="G53" s="113"/>
      <c r="I53" s="97"/>
      <c r="J53" s="114"/>
      <c r="K53" s="114"/>
      <c r="L53" s="18"/>
    </row>
    <row r="54" spans="1:16" x14ac:dyDescent="0.2">
      <c r="B54" s="94"/>
      <c r="C54" s="112"/>
      <c r="D54" s="94"/>
      <c r="E54" s="261"/>
      <c r="G54" s="113"/>
      <c r="I54" s="97"/>
      <c r="J54" s="114"/>
      <c r="K54" s="114"/>
      <c r="L54" s="18"/>
    </row>
    <row r="55" spans="1:16" x14ac:dyDescent="0.2">
      <c r="B55" s="94"/>
      <c r="C55" s="112"/>
      <c r="D55" s="94"/>
      <c r="E55" s="261"/>
      <c r="G55" s="113"/>
      <c r="I55" s="97"/>
      <c r="J55" s="114"/>
      <c r="K55" s="114"/>
      <c r="L55" s="18"/>
    </row>
    <row r="56" spans="1:16" x14ac:dyDescent="0.2">
      <c r="C56" s="254"/>
      <c r="D56" s="255"/>
      <c r="G56" s="113"/>
      <c r="I56" s="97"/>
      <c r="J56" s="114"/>
      <c r="K56" s="114"/>
      <c r="L56" s="18"/>
    </row>
    <row r="57" spans="1:16" x14ac:dyDescent="0.2">
      <c r="B57" s="94"/>
      <c r="C57" s="112"/>
      <c r="D57" s="94"/>
      <c r="E57" s="261"/>
      <c r="G57" s="113"/>
      <c r="I57" s="97"/>
      <c r="J57" s="114"/>
      <c r="K57" s="114"/>
      <c r="L57" s="18"/>
      <c r="M57" s="119"/>
    </row>
    <row r="58" spans="1:16" x14ac:dyDescent="0.2">
      <c r="B58" s="94"/>
      <c r="C58" s="112"/>
      <c r="D58" s="94"/>
      <c r="E58" s="261"/>
      <c r="G58" s="113"/>
      <c r="I58" s="97"/>
      <c r="J58" s="114"/>
      <c r="K58" s="114"/>
      <c r="L58" s="18"/>
      <c r="O58" s="95"/>
      <c r="P58" s="96"/>
    </row>
    <row r="59" spans="1:16" x14ac:dyDescent="0.2">
      <c r="B59" s="94"/>
      <c r="C59" s="112"/>
      <c r="D59" s="94"/>
      <c r="E59" s="261"/>
      <c r="G59" s="113"/>
      <c r="I59" s="97"/>
      <c r="J59" s="114"/>
      <c r="K59" s="114"/>
      <c r="L59" s="18"/>
      <c r="O59" s="95"/>
      <c r="P59" s="96"/>
    </row>
    <row r="60" spans="1:16" x14ac:dyDescent="0.2">
      <c r="B60" s="94"/>
      <c r="C60" s="112"/>
      <c r="D60" s="94"/>
      <c r="E60" s="261"/>
      <c r="G60" s="113"/>
      <c r="I60" s="97"/>
      <c r="J60" s="114"/>
      <c r="K60" s="114"/>
      <c r="L60" s="18"/>
      <c r="O60" s="95"/>
      <c r="P60" s="96"/>
    </row>
    <row r="61" spans="1:16" x14ac:dyDescent="0.2">
      <c r="B61" s="94"/>
      <c r="C61" s="112"/>
      <c r="D61" s="94"/>
      <c r="E61" s="261"/>
      <c r="G61" s="113"/>
      <c r="I61" s="97"/>
      <c r="J61" s="114"/>
      <c r="K61" s="114"/>
      <c r="L61" s="18"/>
      <c r="O61" s="95"/>
      <c r="P61" s="96"/>
    </row>
    <row r="62" spans="1:16" x14ac:dyDescent="0.2">
      <c r="B62" s="94"/>
      <c r="C62" s="112"/>
      <c r="D62" s="94"/>
      <c r="E62" s="261"/>
      <c r="G62" s="113"/>
      <c r="I62" s="97"/>
      <c r="J62" s="114"/>
      <c r="K62" s="114"/>
      <c r="L62" s="18"/>
      <c r="O62" s="95"/>
      <c r="P62" s="96"/>
    </row>
    <row r="63" spans="1:16" x14ac:dyDescent="0.2">
      <c r="B63" s="94"/>
      <c r="C63" s="112"/>
      <c r="D63" s="94"/>
      <c r="E63" s="261"/>
      <c r="G63" s="113"/>
      <c r="I63" s="97"/>
      <c r="J63" s="114"/>
      <c r="K63" s="114"/>
      <c r="L63" s="18"/>
      <c r="O63" s="95"/>
      <c r="P63" s="96"/>
    </row>
    <row r="64" spans="1:16" x14ac:dyDescent="0.2">
      <c r="B64" s="94"/>
      <c r="C64" s="112"/>
      <c r="D64" s="94"/>
      <c r="E64" s="261"/>
      <c r="G64" s="113"/>
      <c r="I64" s="97"/>
      <c r="J64" s="114"/>
      <c r="K64" s="114"/>
      <c r="L64" s="18"/>
      <c r="O64" s="95"/>
      <c r="P64" s="96"/>
    </row>
    <row r="65" spans="2:16" x14ac:dyDescent="0.2">
      <c r="B65" s="94"/>
      <c r="C65" s="112"/>
      <c r="D65" s="94"/>
      <c r="E65" s="261"/>
      <c r="G65" s="113"/>
      <c r="I65" s="97"/>
      <c r="J65" s="114"/>
      <c r="K65" s="114"/>
      <c r="L65" s="18"/>
      <c r="O65" s="95"/>
      <c r="P65" s="96"/>
    </row>
    <row r="66" spans="2:16" x14ac:dyDescent="0.2">
      <c r="B66" s="94"/>
      <c r="C66" s="112"/>
      <c r="D66" s="94"/>
      <c r="E66" s="261"/>
      <c r="G66" s="113"/>
      <c r="I66" s="97"/>
      <c r="J66" s="114"/>
      <c r="K66" s="114"/>
      <c r="L66" s="18"/>
      <c r="O66" s="95"/>
      <c r="P66" s="96"/>
    </row>
    <row r="67" spans="2:16" x14ac:dyDescent="0.2">
      <c r="B67" s="94"/>
      <c r="C67" s="112"/>
      <c r="D67" s="94"/>
      <c r="E67" s="261"/>
      <c r="G67" s="113"/>
      <c r="I67" s="97"/>
      <c r="J67" s="114"/>
      <c r="K67" s="114"/>
      <c r="L67" s="18"/>
      <c r="O67" s="95"/>
      <c r="P67" s="96"/>
    </row>
    <row r="68" spans="2:16" x14ac:dyDescent="0.2">
      <c r="B68" s="94"/>
      <c r="C68" s="112"/>
      <c r="D68" s="94"/>
      <c r="E68" s="261"/>
      <c r="G68" s="113"/>
      <c r="I68" s="97"/>
      <c r="J68" s="114"/>
      <c r="K68" s="114"/>
      <c r="L68" s="18"/>
      <c r="O68" s="95"/>
      <c r="P68" s="96"/>
    </row>
    <row r="69" spans="2:16" x14ac:dyDescent="0.2">
      <c r="B69" s="94"/>
      <c r="C69" s="112"/>
      <c r="D69" s="94"/>
      <c r="E69" s="261"/>
      <c r="G69" s="113"/>
      <c r="I69" s="97"/>
      <c r="J69" s="114"/>
      <c r="K69" s="114"/>
      <c r="L69" s="18"/>
      <c r="O69" s="95"/>
      <c r="P69" s="96"/>
    </row>
    <row r="70" spans="2:16" x14ac:dyDescent="0.2">
      <c r="B70" s="94"/>
      <c r="C70" s="112"/>
      <c r="D70" s="94"/>
      <c r="E70" s="261"/>
      <c r="G70" s="113"/>
      <c r="I70" s="97"/>
      <c r="J70" s="114"/>
      <c r="K70" s="114"/>
      <c r="L70" s="18"/>
      <c r="O70" s="95"/>
      <c r="P70" s="96"/>
    </row>
    <row r="71" spans="2:16" x14ac:dyDescent="0.2">
      <c r="B71" s="94"/>
      <c r="C71" s="112"/>
      <c r="D71" s="94"/>
      <c r="E71" s="261"/>
      <c r="G71" s="113"/>
      <c r="I71" s="97"/>
      <c r="J71" s="114"/>
      <c r="K71" s="114"/>
      <c r="L71" s="18"/>
      <c r="O71" s="95"/>
      <c r="P71" s="96"/>
    </row>
    <row r="72" spans="2:16" x14ac:dyDescent="0.2">
      <c r="C72" s="254"/>
      <c r="D72" s="94"/>
      <c r="G72" s="113"/>
      <c r="I72" s="97"/>
      <c r="J72" s="114"/>
      <c r="K72" s="114"/>
      <c r="L72" s="18"/>
      <c r="O72" s="95"/>
      <c r="P72" s="96"/>
    </row>
    <row r="73" spans="2:16" x14ac:dyDescent="0.2">
      <c r="B73" s="94"/>
      <c r="C73" s="112"/>
      <c r="D73" s="94"/>
      <c r="E73" s="261"/>
      <c r="G73" s="113"/>
      <c r="I73" s="97"/>
      <c r="J73" s="114"/>
      <c r="K73" s="114"/>
      <c r="L73" s="18"/>
      <c r="O73" s="95"/>
      <c r="P73" s="96"/>
    </row>
    <row r="74" spans="2:16" x14ac:dyDescent="0.2">
      <c r="B74" s="94"/>
      <c r="C74" s="112"/>
      <c r="D74" s="94"/>
      <c r="E74" s="261"/>
      <c r="G74" s="113"/>
      <c r="I74" s="97"/>
      <c r="J74" s="114"/>
      <c r="K74" s="114"/>
      <c r="L74" s="18"/>
      <c r="O74" s="95"/>
      <c r="P74" s="96"/>
    </row>
    <row r="75" spans="2:16" x14ac:dyDescent="0.2">
      <c r="B75" s="94"/>
      <c r="C75" s="112"/>
      <c r="D75" s="94"/>
      <c r="E75" s="261"/>
      <c r="G75" s="113"/>
      <c r="I75" s="97"/>
      <c r="J75" s="114"/>
      <c r="K75" s="114"/>
      <c r="L75" s="18"/>
      <c r="O75" s="95"/>
      <c r="P75" s="96"/>
    </row>
    <row r="76" spans="2:16" x14ac:dyDescent="0.2">
      <c r="B76" s="94"/>
      <c r="C76" s="112"/>
      <c r="D76" s="94"/>
      <c r="E76" s="261"/>
      <c r="G76" s="113"/>
      <c r="I76" s="97"/>
      <c r="J76" s="114"/>
      <c r="K76" s="114"/>
      <c r="L76" s="18"/>
      <c r="O76" s="95"/>
      <c r="P76" s="96"/>
    </row>
    <row r="77" spans="2:16" x14ac:dyDescent="0.2">
      <c r="B77" s="94"/>
      <c r="C77" s="112"/>
      <c r="D77" s="94"/>
      <c r="E77" s="261"/>
      <c r="G77" s="113"/>
      <c r="I77" s="97"/>
      <c r="J77" s="114"/>
      <c r="K77" s="114"/>
      <c r="L77" s="18"/>
      <c r="O77" s="95"/>
      <c r="P77" s="96"/>
    </row>
    <row r="78" spans="2:16" x14ac:dyDescent="0.2">
      <c r="B78" s="94"/>
      <c r="C78" s="112"/>
      <c r="D78" s="94"/>
      <c r="E78" s="261"/>
      <c r="G78" s="113"/>
      <c r="I78" s="97"/>
      <c r="J78" s="114"/>
      <c r="K78" s="114"/>
      <c r="L78" s="18"/>
      <c r="O78" s="95"/>
      <c r="P78" s="96"/>
    </row>
    <row r="79" spans="2:16" x14ac:dyDescent="0.2">
      <c r="B79" s="94"/>
      <c r="C79" s="112"/>
      <c r="D79" s="94"/>
      <c r="E79" s="261"/>
      <c r="G79" s="113"/>
      <c r="I79" s="97"/>
      <c r="J79" s="114"/>
      <c r="K79" s="114"/>
      <c r="L79" s="18"/>
      <c r="O79" s="95"/>
      <c r="P79" s="96"/>
    </row>
    <row r="80" spans="2:16" x14ac:dyDescent="0.2">
      <c r="B80" s="94"/>
      <c r="C80" s="112"/>
      <c r="D80" s="94"/>
      <c r="E80" s="261"/>
      <c r="G80" s="113"/>
      <c r="I80" s="97"/>
      <c r="J80" s="114"/>
      <c r="K80" s="114"/>
      <c r="L80" s="18"/>
      <c r="O80" s="95"/>
      <c r="P80" s="96"/>
    </row>
    <row r="81" spans="2:16" x14ac:dyDescent="0.2">
      <c r="B81" s="94"/>
      <c r="C81" s="112"/>
      <c r="D81" s="94"/>
      <c r="E81" s="261"/>
      <c r="G81" s="113"/>
      <c r="I81" s="97"/>
      <c r="J81" s="114"/>
      <c r="K81" s="114"/>
      <c r="L81" s="18"/>
      <c r="O81" s="95"/>
      <c r="P81" s="96"/>
    </row>
    <row r="82" spans="2:16" x14ac:dyDescent="0.2">
      <c r="B82" s="94"/>
      <c r="C82" s="112"/>
      <c r="D82" s="94"/>
      <c r="E82" s="261"/>
      <c r="G82" s="113"/>
      <c r="I82" s="97"/>
      <c r="J82" s="114"/>
      <c r="K82" s="114"/>
      <c r="L82" s="18"/>
      <c r="O82" s="95"/>
      <c r="P82" s="96"/>
    </row>
    <row r="83" spans="2:16" x14ac:dyDescent="0.2">
      <c r="B83" s="94"/>
      <c r="C83" s="112"/>
      <c r="D83" s="94"/>
      <c r="E83" s="261"/>
      <c r="G83" s="113"/>
      <c r="I83" s="97"/>
      <c r="J83" s="114"/>
      <c r="K83" s="114"/>
      <c r="L83" s="18"/>
      <c r="O83" s="95"/>
      <c r="P83" s="96"/>
    </row>
    <row r="84" spans="2:16" x14ac:dyDescent="0.2">
      <c r="B84" s="94"/>
      <c r="C84" s="112"/>
      <c r="D84" s="94"/>
      <c r="E84" s="261"/>
      <c r="G84" s="113"/>
      <c r="I84" s="97"/>
      <c r="J84" s="114"/>
      <c r="K84" s="114"/>
      <c r="L84" s="18"/>
      <c r="O84" s="95"/>
      <c r="P84" s="96"/>
    </row>
    <row r="85" spans="2:16" x14ac:dyDescent="0.2">
      <c r="B85" s="94"/>
      <c r="C85" s="112"/>
      <c r="D85" s="94"/>
      <c r="E85" s="261"/>
      <c r="G85" s="113"/>
      <c r="I85" s="97"/>
      <c r="J85" s="114"/>
      <c r="K85" s="114"/>
      <c r="L85" s="18"/>
      <c r="O85" s="95"/>
      <c r="P85" s="96"/>
    </row>
    <row r="86" spans="2:16" x14ac:dyDescent="0.2">
      <c r="B86" s="94"/>
      <c r="C86" s="112"/>
      <c r="D86" s="94"/>
      <c r="E86" s="261"/>
      <c r="G86" s="113"/>
      <c r="I86" s="97"/>
      <c r="J86" s="114"/>
      <c r="K86" s="114"/>
      <c r="L86" s="18"/>
      <c r="O86" s="95"/>
      <c r="P86" s="96"/>
    </row>
    <row r="87" spans="2:16" x14ac:dyDescent="0.2">
      <c r="B87" s="94"/>
      <c r="C87" s="112"/>
      <c r="D87" s="94"/>
      <c r="E87" s="261"/>
      <c r="G87" s="113"/>
      <c r="I87" s="97"/>
      <c r="J87" s="114"/>
      <c r="K87" s="114"/>
      <c r="L87" s="18"/>
      <c r="O87" s="95"/>
      <c r="P87" s="96"/>
    </row>
    <row r="88" spans="2:16" x14ac:dyDescent="0.2">
      <c r="B88" s="94"/>
      <c r="C88" s="112"/>
      <c r="D88" s="94"/>
      <c r="E88" s="261"/>
      <c r="G88" s="113"/>
      <c r="I88" s="97"/>
      <c r="J88" s="114"/>
      <c r="K88" s="114"/>
      <c r="L88" s="18"/>
      <c r="O88" s="95"/>
      <c r="P88" s="96"/>
    </row>
    <row r="89" spans="2:16" x14ac:dyDescent="0.2">
      <c r="B89" s="94"/>
      <c r="C89" s="112"/>
      <c r="D89" s="94"/>
      <c r="E89" s="261"/>
      <c r="G89" s="113"/>
      <c r="I89" s="97"/>
      <c r="J89" s="114"/>
      <c r="K89" s="114"/>
      <c r="L89" s="18"/>
      <c r="O89" s="95"/>
      <c r="P89" s="96"/>
    </row>
    <row r="90" spans="2:16" x14ac:dyDescent="0.2">
      <c r="B90" s="94"/>
      <c r="C90" s="112"/>
      <c r="D90" s="94"/>
      <c r="E90" s="261"/>
      <c r="G90" s="113"/>
      <c r="I90" s="97"/>
      <c r="J90" s="114"/>
      <c r="K90" s="114"/>
      <c r="L90" s="18"/>
      <c r="O90" s="95"/>
      <c r="P90" s="96"/>
    </row>
    <row r="91" spans="2:16" x14ac:dyDescent="0.2">
      <c r="B91" s="94"/>
      <c r="C91" s="112"/>
      <c r="D91" s="94"/>
      <c r="E91" s="261"/>
      <c r="G91" s="113"/>
      <c r="I91" s="97"/>
      <c r="J91" s="114"/>
      <c r="K91" s="114"/>
      <c r="L91" s="18"/>
      <c r="O91" s="95"/>
      <c r="P91" s="96"/>
    </row>
    <row r="92" spans="2:16" x14ac:dyDescent="0.2">
      <c r="B92" s="94"/>
      <c r="C92" s="112"/>
      <c r="D92" s="94"/>
      <c r="E92" s="261"/>
      <c r="G92" s="113"/>
      <c r="I92" s="97"/>
      <c r="J92" s="114"/>
      <c r="K92" s="114"/>
      <c r="L92" s="18"/>
      <c r="O92" s="95"/>
      <c r="P92" s="96"/>
    </row>
    <row r="93" spans="2:16" x14ac:dyDescent="0.2">
      <c r="B93" s="94"/>
      <c r="C93" s="112"/>
      <c r="D93" s="94"/>
      <c r="E93" s="261"/>
      <c r="G93" s="113"/>
      <c r="I93" s="97"/>
      <c r="J93" s="114"/>
      <c r="K93" s="114"/>
      <c r="L93" s="18"/>
      <c r="O93" s="95"/>
      <c r="P93" s="96"/>
    </row>
    <row r="94" spans="2:16" x14ac:dyDescent="0.2">
      <c r="B94" s="94"/>
      <c r="C94" s="112"/>
      <c r="D94" s="94"/>
      <c r="E94" s="261"/>
      <c r="G94" s="113"/>
      <c r="I94" s="97"/>
      <c r="J94" s="114"/>
      <c r="K94" s="114"/>
      <c r="L94" s="18"/>
      <c r="O94" s="95"/>
      <c r="P94" s="96"/>
    </row>
    <row r="95" spans="2:16" x14ac:dyDescent="0.2">
      <c r="B95" s="94"/>
      <c r="C95" s="112"/>
      <c r="D95" s="94"/>
      <c r="E95" s="261"/>
      <c r="G95" s="113"/>
      <c r="I95" s="97"/>
      <c r="J95" s="114"/>
      <c r="K95" s="114"/>
      <c r="L95" s="18"/>
      <c r="O95" s="95"/>
      <c r="P95" s="96"/>
    </row>
    <row r="96" spans="2:16" x14ac:dyDescent="0.2">
      <c r="B96" s="94"/>
      <c r="C96" s="112"/>
      <c r="D96" s="94"/>
      <c r="E96" s="261"/>
      <c r="G96" s="113"/>
      <c r="I96" s="97"/>
      <c r="J96" s="114"/>
      <c r="K96" s="114"/>
      <c r="L96" s="18"/>
      <c r="O96" s="95"/>
      <c r="P96" s="96"/>
    </row>
    <row r="97" spans="2:16" x14ac:dyDescent="0.2">
      <c r="B97" s="94"/>
      <c r="C97" s="112"/>
      <c r="D97" s="94"/>
      <c r="E97" s="261"/>
      <c r="G97" s="113"/>
      <c r="I97" s="97"/>
      <c r="J97" s="114"/>
      <c r="K97" s="114"/>
      <c r="L97" s="18"/>
      <c r="O97" s="95"/>
      <c r="P97" s="96"/>
    </row>
    <row r="98" spans="2:16" x14ac:dyDescent="0.2">
      <c r="B98" s="94"/>
      <c r="C98" s="112"/>
      <c r="D98" s="94"/>
      <c r="E98" s="261"/>
      <c r="G98" s="113"/>
      <c r="I98" s="97"/>
      <c r="J98" s="114"/>
      <c r="K98" s="114"/>
      <c r="L98" s="18"/>
      <c r="O98" s="95"/>
      <c r="P98" s="96"/>
    </row>
    <row r="99" spans="2:16" x14ac:dyDescent="0.2">
      <c r="B99" s="94"/>
      <c r="C99" s="112"/>
      <c r="D99" s="94"/>
      <c r="E99" s="261"/>
      <c r="G99" s="113"/>
      <c r="I99" s="97"/>
      <c r="J99" s="114"/>
      <c r="K99" s="114"/>
      <c r="L99" s="18"/>
      <c r="O99" s="95"/>
      <c r="P99" s="96"/>
    </row>
    <row r="100" spans="2:16" x14ac:dyDescent="0.2">
      <c r="B100" s="94"/>
      <c r="C100" s="112"/>
      <c r="D100" s="94"/>
      <c r="E100" s="261"/>
      <c r="G100" s="113"/>
      <c r="I100" s="97"/>
      <c r="J100" s="114"/>
      <c r="K100" s="114"/>
      <c r="L100" s="18"/>
      <c r="O100" s="95"/>
      <c r="P100" s="96"/>
    </row>
    <row r="101" spans="2:16" x14ac:dyDescent="0.2">
      <c r="B101" s="94"/>
      <c r="C101" s="112"/>
      <c r="D101" s="94"/>
      <c r="E101" s="261"/>
      <c r="G101" s="113"/>
      <c r="I101" s="97"/>
      <c r="J101" s="114"/>
      <c r="K101" s="114"/>
      <c r="L101" s="18"/>
      <c r="O101" s="95"/>
      <c r="P101" s="96"/>
    </row>
    <row r="102" spans="2:16" x14ac:dyDescent="0.2">
      <c r="B102" s="94"/>
      <c r="C102" s="112"/>
      <c r="D102" s="94"/>
      <c r="E102" s="261"/>
      <c r="G102" s="113"/>
      <c r="I102" s="97"/>
      <c r="J102" s="114"/>
      <c r="K102" s="114"/>
      <c r="L102" s="18"/>
      <c r="O102" s="95"/>
      <c r="P102" s="96"/>
    </row>
    <row r="103" spans="2:16" x14ac:dyDescent="0.2">
      <c r="B103" s="94"/>
      <c r="C103" s="112"/>
      <c r="D103" s="94"/>
      <c r="E103" s="261"/>
      <c r="G103" s="113"/>
      <c r="I103" s="97"/>
      <c r="J103" s="114"/>
      <c r="K103" s="114"/>
      <c r="L103" s="18"/>
      <c r="O103" s="95"/>
      <c r="P103" s="96"/>
    </row>
    <row r="104" spans="2:16" x14ac:dyDescent="0.2">
      <c r="B104" s="94"/>
      <c r="C104" s="112"/>
      <c r="D104" s="94"/>
      <c r="E104" s="261"/>
      <c r="G104" s="113"/>
      <c r="I104" s="97"/>
      <c r="J104" s="114"/>
      <c r="K104" s="114"/>
      <c r="L104" s="18"/>
      <c r="O104" s="95"/>
      <c r="P104" s="96"/>
    </row>
    <row r="105" spans="2:16" x14ac:dyDescent="0.2">
      <c r="B105" s="94"/>
      <c r="C105" s="112"/>
      <c r="D105" s="94"/>
      <c r="E105" s="261"/>
      <c r="G105" s="113"/>
      <c r="I105" s="97"/>
      <c r="J105" s="114"/>
      <c r="K105" s="114"/>
      <c r="L105" s="18"/>
      <c r="O105" s="95"/>
      <c r="P105" s="96"/>
    </row>
    <row r="106" spans="2:16" x14ac:dyDescent="0.2">
      <c r="B106" s="94"/>
      <c r="C106" s="112"/>
      <c r="D106" s="94"/>
      <c r="E106" s="261"/>
      <c r="G106" s="113"/>
      <c r="I106" s="97"/>
      <c r="J106" s="114"/>
      <c r="K106" s="114"/>
      <c r="L106" s="18"/>
      <c r="O106" s="95"/>
      <c r="P106" s="96"/>
    </row>
    <row r="107" spans="2:16" x14ac:dyDescent="0.2">
      <c r="B107" s="94"/>
      <c r="C107" s="112"/>
      <c r="D107" s="94"/>
      <c r="E107" s="261"/>
      <c r="G107" s="113"/>
      <c r="I107" s="97"/>
      <c r="J107" s="114"/>
      <c r="K107" s="114"/>
      <c r="L107" s="18"/>
      <c r="O107" s="95"/>
      <c r="P107" s="96"/>
    </row>
    <row r="108" spans="2:16" x14ac:dyDescent="0.2">
      <c r="B108" s="94"/>
      <c r="C108" s="112"/>
      <c r="D108" s="94"/>
      <c r="E108" s="261"/>
      <c r="G108" s="113"/>
      <c r="I108" s="97"/>
      <c r="J108" s="114"/>
      <c r="K108" s="114"/>
      <c r="L108" s="18"/>
      <c r="O108" s="95"/>
      <c r="P108" s="96"/>
    </row>
    <row r="109" spans="2:16" x14ac:dyDescent="0.2">
      <c r="B109" s="94"/>
      <c r="C109" s="112"/>
      <c r="D109" s="94"/>
      <c r="E109" s="261"/>
      <c r="G109" s="113"/>
      <c r="I109" s="97"/>
      <c r="J109" s="114"/>
      <c r="K109" s="114"/>
      <c r="L109" s="18"/>
      <c r="O109" s="95"/>
      <c r="P109" s="96"/>
    </row>
    <row r="110" spans="2:16" x14ac:dyDescent="0.2">
      <c r="B110" s="94"/>
      <c r="C110" s="112"/>
      <c r="D110" s="94"/>
      <c r="E110" s="261"/>
      <c r="G110" s="113"/>
      <c r="I110" s="97"/>
      <c r="J110" s="114"/>
      <c r="K110" s="114"/>
      <c r="L110" s="18"/>
      <c r="O110" s="95"/>
      <c r="P110" s="96"/>
    </row>
    <row r="111" spans="2:16" x14ac:dyDescent="0.2">
      <c r="B111" s="94"/>
      <c r="C111" s="112"/>
      <c r="D111" s="94"/>
      <c r="E111" s="261"/>
      <c r="G111" s="113"/>
      <c r="I111" s="97"/>
      <c r="J111" s="114"/>
      <c r="K111" s="114"/>
      <c r="L111" s="18"/>
      <c r="O111" s="95"/>
      <c r="P111" s="96"/>
    </row>
    <row r="112" spans="2:16" x14ac:dyDescent="0.2">
      <c r="B112" s="94"/>
      <c r="C112" s="112"/>
      <c r="D112" s="94"/>
      <c r="E112" s="261"/>
      <c r="G112" s="113"/>
      <c r="I112" s="97"/>
      <c r="J112" s="114"/>
      <c r="K112" s="114"/>
      <c r="L112" s="18"/>
      <c r="O112" s="95"/>
      <c r="P112" s="96"/>
    </row>
    <row r="113" spans="2:16" x14ac:dyDescent="0.2">
      <c r="B113" s="94"/>
      <c r="C113" s="112"/>
      <c r="D113" s="94"/>
      <c r="E113" s="261"/>
      <c r="G113" s="113"/>
      <c r="I113" s="97"/>
      <c r="J113" s="114"/>
      <c r="K113" s="114"/>
      <c r="L113" s="18"/>
      <c r="O113" s="95"/>
      <c r="P113" s="96"/>
    </row>
    <row r="114" spans="2:16" x14ac:dyDescent="0.2">
      <c r="C114" s="254"/>
      <c r="D114" s="94"/>
      <c r="G114" s="113"/>
      <c r="I114" s="97"/>
      <c r="J114" s="114"/>
      <c r="K114" s="114"/>
      <c r="L114" s="18"/>
      <c r="O114" s="95"/>
      <c r="P114" s="96"/>
    </row>
    <row r="115" spans="2:16" x14ac:dyDescent="0.2">
      <c r="B115" s="94"/>
      <c r="C115" s="112"/>
      <c r="D115" s="94"/>
      <c r="E115" s="261"/>
      <c r="G115" s="113"/>
      <c r="I115" s="97"/>
      <c r="J115" s="114"/>
      <c r="K115" s="114"/>
      <c r="L115" s="18"/>
      <c r="O115" s="95"/>
      <c r="P115" s="96"/>
    </row>
    <row r="116" spans="2:16" x14ac:dyDescent="0.2">
      <c r="B116" s="94"/>
      <c r="C116" s="112"/>
      <c r="D116" s="94"/>
      <c r="E116" s="261"/>
      <c r="G116" s="113"/>
      <c r="I116" s="97"/>
      <c r="J116" s="114"/>
      <c r="K116" s="114"/>
      <c r="L116" s="18"/>
      <c r="O116" s="95"/>
      <c r="P116" s="96"/>
    </row>
    <row r="117" spans="2:16" x14ac:dyDescent="0.2">
      <c r="B117" s="94"/>
      <c r="C117" s="112"/>
      <c r="D117" s="94"/>
      <c r="E117" s="261"/>
      <c r="G117" s="113"/>
      <c r="I117" s="97"/>
      <c r="J117" s="114"/>
      <c r="K117" s="114"/>
      <c r="L117" s="18"/>
      <c r="O117" s="95"/>
      <c r="P117" s="96"/>
    </row>
    <row r="118" spans="2:16" x14ac:dyDescent="0.2">
      <c r="B118" s="94"/>
      <c r="C118" s="112"/>
      <c r="D118" s="94"/>
      <c r="E118" s="261"/>
      <c r="G118" s="113"/>
      <c r="I118" s="97"/>
      <c r="J118" s="114"/>
      <c r="K118" s="114"/>
      <c r="L118" s="18"/>
      <c r="O118" s="95"/>
      <c r="P118" s="96"/>
    </row>
    <row r="119" spans="2:16" x14ac:dyDescent="0.2">
      <c r="B119" s="94"/>
      <c r="C119" s="112"/>
      <c r="D119" s="94"/>
      <c r="E119" s="261"/>
      <c r="G119" s="113"/>
      <c r="I119" s="97"/>
      <c r="J119" s="114"/>
      <c r="K119" s="114"/>
      <c r="L119" s="18"/>
      <c r="O119" s="95"/>
      <c r="P119" s="96"/>
    </row>
    <row r="120" spans="2:16" x14ac:dyDescent="0.2">
      <c r="B120" s="94"/>
      <c r="C120" s="112"/>
      <c r="D120" s="94"/>
      <c r="E120" s="261"/>
      <c r="G120" s="113"/>
      <c r="I120" s="97"/>
      <c r="J120" s="114"/>
      <c r="K120" s="114"/>
      <c r="L120" s="18"/>
      <c r="O120" s="95"/>
      <c r="P120" s="96"/>
    </row>
    <row r="121" spans="2:16" x14ac:dyDescent="0.2">
      <c r="B121" s="94"/>
      <c r="C121" s="112"/>
      <c r="D121" s="94"/>
      <c r="E121" s="261"/>
      <c r="G121" s="113"/>
      <c r="I121" s="97"/>
      <c r="J121" s="114"/>
      <c r="K121" s="114"/>
      <c r="L121" s="18"/>
      <c r="O121" s="95"/>
      <c r="P121" s="96"/>
    </row>
    <row r="122" spans="2:16" x14ac:dyDescent="0.2">
      <c r="B122" s="94"/>
      <c r="C122" s="112"/>
      <c r="D122" s="94"/>
      <c r="E122" s="261"/>
      <c r="G122" s="113"/>
      <c r="I122" s="97"/>
      <c r="J122" s="114"/>
      <c r="K122" s="114"/>
      <c r="L122" s="18"/>
      <c r="O122" s="95"/>
      <c r="P122" s="96"/>
    </row>
    <row r="123" spans="2:16" x14ac:dyDescent="0.2">
      <c r="B123" s="94"/>
      <c r="C123" s="112"/>
      <c r="D123" s="94"/>
      <c r="E123" s="261"/>
      <c r="G123" s="113"/>
      <c r="I123" s="97"/>
      <c r="J123" s="114"/>
      <c r="K123" s="114"/>
      <c r="L123" s="18"/>
      <c r="O123" s="95"/>
      <c r="P123" s="96"/>
    </row>
    <row r="124" spans="2:16" x14ac:dyDescent="0.2">
      <c r="B124" s="94"/>
      <c r="C124" s="112"/>
      <c r="D124" s="94"/>
      <c r="E124" s="261"/>
      <c r="G124" s="113"/>
      <c r="I124" s="97"/>
      <c r="J124" s="114"/>
      <c r="K124" s="114"/>
      <c r="L124" s="18"/>
      <c r="O124" s="95"/>
      <c r="P124" s="96"/>
    </row>
    <row r="125" spans="2:16" x14ac:dyDescent="0.2">
      <c r="B125" s="94"/>
      <c r="C125" s="112"/>
      <c r="D125" s="94"/>
      <c r="E125" s="261"/>
      <c r="G125" s="113"/>
      <c r="I125" s="97"/>
      <c r="J125" s="114"/>
      <c r="K125" s="114"/>
      <c r="L125" s="18"/>
      <c r="O125" s="95"/>
      <c r="P125" s="96"/>
    </row>
    <row r="126" spans="2:16" x14ac:dyDescent="0.2">
      <c r="B126" s="94"/>
      <c r="C126" s="112"/>
      <c r="D126" s="94"/>
      <c r="E126" s="261"/>
      <c r="G126" s="113"/>
      <c r="I126" s="97"/>
      <c r="J126" s="114"/>
      <c r="K126" s="114"/>
      <c r="L126" s="18"/>
      <c r="O126" s="95"/>
      <c r="P126" s="96"/>
    </row>
    <row r="127" spans="2:16" x14ac:dyDescent="0.2">
      <c r="B127" s="94"/>
      <c r="C127" s="112"/>
      <c r="D127" s="94"/>
      <c r="E127" s="261"/>
      <c r="G127" s="113"/>
      <c r="I127" s="97"/>
      <c r="J127" s="114"/>
      <c r="K127" s="114"/>
      <c r="L127" s="18"/>
      <c r="O127" s="95"/>
      <c r="P127" s="96"/>
    </row>
    <row r="128" spans="2:16" x14ac:dyDescent="0.2">
      <c r="B128" s="94"/>
      <c r="C128" s="112"/>
      <c r="D128" s="94"/>
      <c r="E128" s="261"/>
      <c r="G128" s="113"/>
      <c r="I128" s="97"/>
      <c r="J128" s="114"/>
      <c r="K128" s="114"/>
      <c r="O128" s="95"/>
      <c r="P128" s="96"/>
    </row>
    <row r="129" spans="2:16" x14ac:dyDescent="0.2">
      <c r="B129" s="94"/>
      <c r="C129" s="112"/>
      <c r="D129" s="94"/>
      <c r="E129" s="261"/>
      <c r="G129" s="113"/>
      <c r="I129" s="97"/>
      <c r="J129" s="114"/>
      <c r="K129" s="114"/>
      <c r="O129" s="95"/>
      <c r="P129" s="96"/>
    </row>
    <row r="130" spans="2:16" x14ac:dyDescent="0.2">
      <c r="B130" s="94"/>
      <c r="C130" s="112"/>
      <c r="D130" s="94"/>
      <c r="E130" s="261"/>
      <c r="G130" s="113"/>
      <c r="I130" s="97"/>
      <c r="J130" s="114"/>
      <c r="K130" s="114"/>
      <c r="O130" s="95"/>
      <c r="P130" s="96"/>
    </row>
    <row r="131" spans="2:16" x14ac:dyDescent="0.2">
      <c r="B131" s="94"/>
      <c r="C131" s="112"/>
      <c r="D131" s="94"/>
      <c r="E131" s="261"/>
      <c r="G131" s="113"/>
      <c r="I131" s="97"/>
      <c r="J131" s="114"/>
      <c r="K131" s="114"/>
      <c r="O131" s="95"/>
      <c r="P131" s="96"/>
    </row>
    <row r="132" spans="2:16" x14ac:dyDescent="0.2">
      <c r="B132" s="94"/>
      <c r="C132" s="112"/>
      <c r="D132" s="94"/>
      <c r="E132" s="261"/>
      <c r="G132" s="113"/>
      <c r="I132" s="97"/>
      <c r="J132" s="114"/>
      <c r="K132" s="114"/>
      <c r="O132" s="95"/>
      <c r="P132" s="96"/>
    </row>
    <row r="133" spans="2:16" x14ac:dyDescent="0.2">
      <c r="B133" s="94"/>
      <c r="C133" s="112"/>
      <c r="D133" s="94"/>
      <c r="E133" s="261"/>
      <c r="G133" s="113"/>
      <c r="I133" s="97"/>
      <c r="J133" s="114"/>
      <c r="K133" s="114"/>
      <c r="O133" s="95"/>
      <c r="P133" s="96"/>
    </row>
    <row r="134" spans="2:16" x14ac:dyDescent="0.2">
      <c r="B134" s="94"/>
      <c r="C134" s="112"/>
      <c r="D134" s="94"/>
      <c r="E134" s="261"/>
      <c r="G134" s="113"/>
      <c r="I134" s="97"/>
      <c r="J134" s="114"/>
      <c r="K134" s="114"/>
      <c r="O134" s="95"/>
      <c r="P134" s="96"/>
    </row>
    <row r="135" spans="2:16" x14ac:dyDescent="0.2">
      <c r="B135" s="94"/>
      <c r="C135" s="112"/>
      <c r="D135" s="94"/>
      <c r="E135" s="261"/>
      <c r="G135" s="113"/>
      <c r="I135" s="97"/>
      <c r="J135" s="114"/>
      <c r="K135" s="114"/>
      <c r="O135" s="95"/>
      <c r="P135" s="96"/>
    </row>
    <row r="136" spans="2:16" x14ac:dyDescent="0.2">
      <c r="B136" s="94"/>
      <c r="C136" s="112"/>
      <c r="D136" s="94"/>
      <c r="E136" s="261"/>
      <c r="G136" s="113"/>
      <c r="I136" s="97"/>
      <c r="J136" s="114"/>
      <c r="K136" s="114"/>
      <c r="O136" s="95"/>
      <c r="P136" s="96"/>
    </row>
    <row r="137" spans="2:16" x14ac:dyDescent="0.2">
      <c r="B137" s="94"/>
      <c r="C137" s="112"/>
      <c r="D137" s="94"/>
      <c r="E137" s="261"/>
      <c r="G137" s="113"/>
      <c r="I137" s="97"/>
      <c r="J137" s="114"/>
      <c r="K137" s="114"/>
      <c r="O137" s="95"/>
      <c r="P137" s="96"/>
    </row>
    <row r="138" spans="2:16" x14ac:dyDescent="0.2">
      <c r="B138" s="94"/>
      <c r="C138" s="112"/>
      <c r="D138" s="94"/>
      <c r="E138" s="261"/>
      <c r="G138" s="113"/>
      <c r="I138" s="97"/>
      <c r="J138" s="114"/>
      <c r="K138" s="114"/>
      <c r="O138" s="95"/>
      <c r="P138" s="96"/>
    </row>
    <row r="139" spans="2:16" x14ac:dyDescent="0.2">
      <c r="B139" s="94"/>
      <c r="C139" s="112"/>
      <c r="D139" s="94"/>
      <c r="E139" s="261"/>
      <c r="G139" s="113"/>
      <c r="I139" s="97"/>
      <c r="J139" s="114"/>
      <c r="K139" s="114"/>
      <c r="O139" s="95"/>
      <c r="P139" s="96"/>
    </row>
    <row r="140" spans="2:16" x14ac:dyDescent="0.2">
      <c r="B140" s="94"/>
      <c r="C140" s="112"/>
      <c r="D140" s="94"/>
      <c r="E140" s="261"/>
      <c r="G140" s="113"/>
      <c r="I140" s="97"/>
      <c r="J140" s="114"/>
      <c r="K140" s="114"/>
      <c r="O140" s="95"/>
      <c r="P140" s="96"/>
    </row>
    <row r="141" spans="2:16" x14ac:dyDescent="0.2">
      <c r="B141" s="94"/>
      <c r="C141" s="112"/>
      <c r="D141" s="94"/>
      <c r="E141" s="261"/>
      <c r="G141" s="113"/>
      <c r="I141" s="97"/>
      <c r="J141" s="114"/>
      <c r="K141" s="114"/>
      <c r="O141" s="95"/>
      <c r="P141" s="96"/>
    </row>
    <row r="142" spans="2:16" x14ac:dyDescent="0.2">
      <c r="C142" s="254"/>
      <c r="D142" s="94"/>
      <c r="G142" s="113"/>
      <c r="I142" s="97"/>
      <c r="J142" s="114"/>
      <c r="K142" s="114"/>
      <c r="O142" s="95"/>
      <c r="P142" s="96"/>
    </row>
    <row r="143" spans="2:16" x14ac:dyDescent="0.2">
      <c r="B143" s="94"/>
      <c r="C143" s="112"/>
      <c r="D143" s="94"/>
      <c r="E143" s="263"/>
      <c r="G143" s="113"/>
      <c r="I143" s="97"/>
      <c r="J143" s="114"/>
      <c r="K143" s="114"/>
      <c r="O143" s="95"/>
      <c r="P143" s="96"/>
    </row>
    <row r="144" spans="2:16" x14ac:dyDescent="0.2">
      <c r="B144" s="94"/>
      <c r="C144" s="112"/>
      <c r="D144" s="94"/>
      <c r="E144" s="263"/>
      <c r="G144" s="113"/>
      <c r="I144" s="97"/>
      <c r="J144" s="114"/>
      <c r="K144" s="114"/>
      <c r="O144" s="95"/>
      <c r="P144" s="96"/>
    </row>
    <row r="145" spans="2:16" x14ac:dyDescent="0.2">
      <c r="B145" s="94"/>
      <c r="C145" s="112"/>
      <c r="D145" s="94"/>
      <c r="E145" s="261"/>
      <c r="G145" s="113"/>
      <c r="I145" s="97"/>
      <c r="J145" s="114"/>
      <c r="K145" s="114"/>
      <c r="O145" s="95"/>
      <c r="P145" s="96"/>
    </row>
    <row r="146" spans="2:16" x14ac:dyDescent="0.2">
      <c r="B146" s="94"/>
      <c r="C146" s="112"/>
      <c r="D146" s="94"/>
      <c r="E146" s="261"/>
      <c r="G146" s="113"/>
      <c r="I146" s="97"/>
      <c r="J146" s="114"/>
      <c r="K146" s="114"/>
      <c r="O146" s="95"/>
      <c r="P146" s="96"/>
    </row>
    <row r="147" spans="2:16" x14ac:dyDescent="0.2">
      <c r="B147" s="94"/>
      <c r="C147" s="112"/>
      <c r="D147" s="94"/>
      <c r="E147" s="261"/>
      <c r="G147" s="113"/>
      <c r="I147" s="97"/>
      <c r="J147" s="114"/>
      <c r="K147" s="114"/>
      <c r="O147" s="95"/>
      <c r="P147" s="96"/>
    </row>
    <row r="148" spans="2:16" x14ac:dyDescent="0.2">
      <c r="B148" s="94"/>
      <c r="C148" s="112"/>
      <c r="D148" s="94"/>
      <c r="E148" s="261"/>
      <c r="G148" s="113"/>
      <c r="I148" s="97"/>
      <c r="J148" s="114"/>
      <c r="K148" s="114"/>
      <c r="O148" s="95"/>
      <c r="P148" s="96"/>
    </row>
    <row r="149" spans="2:16" x14ac:dyDescent="0.2">
      <c r="B149" s="94"/>
      <c r="C149" s="112"/>
      <c r="D149" s="94"/>
      <c r="E149" s="261"/>
      <c r="G149" s="113"/>
      <c r="I149" s="97"/>
      <c r="J149" s="114"/>
      <c r="K149" s="114"/>
      <c r="O149" s="95"/>
      <c r="P149" s="96"/>
    </row>
    <row r="150" spans="2:16" x14ac:dyDescent="0.2">
      <c r="B150" s="94"/>
      <c r="C150" s="112"/>
      <c r="D150" s="94"/>
      <c r="E150" s="261"/>
      <c r="G150" s="113"/>
      <c r="I150" s="97"/>
      <c r="J150" s="114"/>
      <c r="K150" s="114"/>
      <c r="O150" s="95"/>
      <c r="P150" s="96"/>
    </row>
    <row r="151" spans="2:16" x14ac:dyDescent="0.2">
      <c r="B151" s="94"/>
      <c r="C151" s="112"/>
      <c r="D151" s="94"/>
      <c r="E151" s="261"/>
      <c r="G151" s="113"/>
      <c r="I151" s="97"/>
      <c r="J151" s="114"/>
      <c r="K151" s="114"/>
      <c r="O151" s="95"/>
      <c r="P151" s="96"/>
    </row>
    <row r="152" spans="2:16" x14ac:dyDescent="0.2">
      <c r="B152" s="94"/>
      <c r="C152" s="112"/>
      <c r="D152" s="94"/>
      <c r="E152" s="261"/>
      <c r="G152" s="113"/>
      <c r="I152" s="97"/>
      <c r="J152" s="114"/>
      <c r="K152" s="114"/>
      <c r="O152" s="95"/>
      <c r="P152" s="96"/>
    </row>
    <row r="153" spans="2:16" x14ac:dyDescent="0.2">
      <c r="B153" s="94"/>
      <c r="C153" s="112"/>
      <c r="D153" s="94"/>
      <c r="E153" s="261"/>
      <c r="G153" s="113"/>
      <c r="I153" s="97"/>
      <c r="J153" s="114"/>
      <c r="K153" s="114"/>
    </row>
    <row r="154" spans="2:16" x14ac:dyDescent="0.2">
      <c r="B154" s="94"/>
      <c r="C154" s="112"/>
      <c r="D154" s="94"/>
      <c r="E154" s="261"/>
      <c r="G154" s="113"/>
      <c r="I154" s="97"/>
      <c r="J154" s="114"/>
      <c r="K154" s="114"/>
    </row>
    <row r="155" spans="2:16" x14ac:dyDescent="0.2">
      <c r="C155" s="254"/>
      <c r="D155" s="94"/>
      <c r="E155" s="261"/>
      <c r="G155" s="113"/>
      <c r="I155" s="97"/>
      <c r="J155" s="114"/>
      <c r="K155" s="114"/>
    </row>
    <row r="156" spans="2:16" x14ac:dyDescent="0.2">
      <c r="C156" s="254"/>
      <c r="D156" s="255"/>
      <c r="F156" s="256"/>
      <c r="G156" s="113"/>
      <c r="I156" s="97"/>
      <c r="J156" s="114"/>
      <c r="K156" s="114"/>
    </row>
    <row r="157" spans="2:16" x14ac:dyDescent="0.2">
      <c r="C157" s="254"/>
      <c r="D157" s="255"/>
      <c r="F157" s="256"/>
      <c r="G157" s="113"/>
      <c r="I157" s="97"/>
      <c r="J157" s="114"/>
      <c r="K157" s="114"/>
    </row>
    <row r="158" spans="2:16" x14ac:dyDescent="0.2">
      <c r="D158" s="255"/>
      <c r="F158" s="256"/>
      <c r="G158" s="113"/>
      <c r="I158" s="97"/>
      <c r="J158" s="114"/>
      <c r="K158" s="114"/>
    </row>
    <row r="159" spans="2:16" x14ac:dyDescent="0.2">
      <c r="C159" s="254"/>
      <c r="D159" s="255"/>
      <c r="F159" s="256"/>
      <c r="G159" s="113"/>
      <c r="I159" s="97"/>
      <c r="J159" s="114"/>
      <c r="K159" s="114"/>
    </row>
    <row r="160" spans="2:16" x14ac:dyDescent="0.2">
      <c r="C160" s="254"/>
      <c r="D160" s="255"/>
      <c r="F160" s="256"/>
      <c r="G160" s="113"/>
      <c r="I160" s="97"/>
      <c r="J160" s="114"/>
    </row>
    <row r="161" spans="3:10" x14ac:dyDescent="0.2">
      <c r="C161" s="254"/>
      <c r="D161" s="255"/>
      <c r="F161" s="256"/>
      <c r="G161" s="113"/>
      <c r="I161" s="97"/>
      <c r="J161" s="114"/>
    </row>
    <row r="162" spans="3:10" x14ac:dyDescent="0.2">
      <c r="C162" s="254"/>
      <c r="D162" s="255"/>
      <c r="F162" s="256"/>
      <c r="G162" s="113"/>
      <c r="I162" s="97"/>
      <c r="J162" s="114"/>
    </row>
  </sheetData>
  <sortState xmlns:xlrd2="http://schemas.microsoft.com/office/spreadsheetml/2017/richdata2" ref="B50:E162">
    <sortCondition ref="C50:C162"/>
  </sortState>
  <mergeCells count="10">
    <mergeCell ref="A38:I38"/>
    <mergeCell ref="J26:J27"/>
    <mergeCell ref="A26:A27"/>
    <mergeCell ref="C26:C27"/>
    <mergeCell ref="D26:D27"/>
    <mergeCell ref="E26:E27"/>
    <mergeCell ref="F26:F27"/>
    <mergeCell ref="H26:I26"/>
    <mergeCell ref="G26:G27"/>
    <mergeCell ref="B26:B27"/>
  </mergeCells>
  <printOptions horizontalCentered="1"/>
  <pageMargins left="0.78740157480314965" right="0.51181102362204722" top="0.78740157480314965" bottom="0.78740157480314965" header="0.31496062992125984" footer="0.31496062992125984"/>
  <pageSetup paperSize="9" scale="52" fitToHeight="0" orientation="portrait" r:id="rId1"/>
  <headerFooter>
    <oddFooter>&amp;C&amp;A</oddFooter>
  </headerFooter>
  <ignoredErrors>
    <ignoredError sqref="A26 A2" numberStoredAsText="1"/>
  </ignoredErrors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0000FF"/>
    <pageSetUpPr fitToPage="1"/>
  </sheetPr>
  <dimension ref="A1:P78"/>
  <sheetViews>
    <sheetView showGridLines="0" view="pageBreakPreview" zoomScale="85" zoomScaleNormal="55" zoomScaleSheetLayoutView="85" workbookViewId="0">
      <selection activeCell="I8" sqref="I8"/>
    </sheetView>
  </sheetViews>
  <sheetFormatPr defaultColWidth="9.140625" defaultRowHeight="14.25" x14ac:dyDescent="0.25"/>
  <cols>
    <col min="1" max="1" width="9.140625" style="129" customWidth="1"/>
    <col min="2" max="2" width="11.85546875" style="102" bestFit="1" customWidth="1"/>
    <col min="3" max="3" width="58.5703125" style="18" customWidth="1"/>
    <col min="4" max="4" width="9.5703125" style="18" bestFit="1" customWidth="1"/>
    <col min="5" max="5" width="13.28515625" style="18" bestFit="1" customWidth="1"/>
    <col min="6" max="6" width="12.7109375" style="102" customWidth="1"/>
    <col min="7" max="7" width="21.85546875" style="130" bestFit="1" customWidth="1"/>
    <col min="8" max="8" width="11" style="128" bestFit="1" customWidth="1"/>
    <col min="9" max="9" width="18" style="128" customWidth="1"/>
    <col min="10" max="10" width="15.85546875" style="99" bestFit="1" customWidth="1"/>
    <col min="11" max="11" width="10.85546875" style="99" customWidth="1"/>
    <col min="12" max="12" width="26" style="18" customWidth="1"/>
    <col min="13" max="13" width="15.7109375" style="18" customWidth="1"/>
    <col min="14" max="14" width="11.5703125" style="18" customWidth="1"/>
    <col min="15" max="16384" width="9.140625" style="18"/>
  </cols>
  <sheetData>
    <row r="1" spans="1:14" ht="15" x14ac:dyDescent="0.25">
      <c r="A1" s="61" t="s">
        <v>1</v>
      </c>
      <c r="B1" s="98"/>
      <c r="C1" s="212" t="s">
        <v>9</v>
      </c>
      <c r="D1" s="61" t="s">
        <v>2</v>
      </c>
      <c r="E1" s="61" t="s">
        <v>3</v>
      </c>
      <c r="F1" s="152" t="s">
        <v>10</v>
      </c>
      <c r="G1" s="153" t="s">
        <v>265</v>
      </c>
      <c r="H1" s="159"/>
      <c r="J1" s="151"/>
      <c r="K1" s="18"/>
      <c r="M1" s="337"/>
      <c r="N1" s="18" t="s">
        <v>333</v>
      </c>
    </row>
    <row r="2" spans="1:14" ht="17.45" customHeight="1" x14ac:dyDescent="0.25">
      <c r="A2" s="61" t="s">
        <v>315</v>
      </c>
      <c r="B2" s="98"/>
      <c r="C2" s="210" t="s">
        <v>154</v>
      </c>
      <c r="D2" s="145" t="s">
        <v>14</v>
      </c>
      <c r="E2" s="65"/>
      <c r="F2" s="146"/>
      <c r="G2" s="146"/>
      <c r="H2" s="232"/>
      <c r="I2" s="188"/>
      <c r="J2" s="148"/>
      <c r="K2" s="18"/>
    </row>
    <row r="3" spans="1:14" ht="13.9" customHeight="1" x14ac:dyDescent="0.25">
      <c r="A3" s="61" t="s">
        <v>291</v>
      </c>
      <c r="B3" s="98"/>
      <c r="C3" s="210" t="s">
        <v>261</v>
      </c>
      <c r="D3" s="67" t="s">
        <v>14</v>
      </c>
      <c r="E3" s="65"/>
      <c r="F3" s="100"/>
      <c r="G3" s="146"/>
      <c r="H3" s="232"/>
      <c r="I3" s="233"/>
      <c r="J3" s="148"/>
      <c r="K3" s="18"/>
    </row>
    <row r="4" spans="1:14" ht="13.9" customHeight="1" x14ac:dyDescent="0.2">
      <c r="A4" s="67" t="s">
        <v>289</v>
      </c>
      <c r="B4" s="101" t="s">
        <v>230</v>
      </c>
      <c r="C4" s="56" t="s">
        <v>622</v>
      </c>
      <c r="D4" s="57" t="s">
        <v>611</v>
      </c>
      <c r="E4" s="58">
        <v>0</v>
      </c>
      <c r="F4" s="55">
        <f>VLOOKUP(B4,MO!$A$5:$F$114,6,0)</f>
        <v>7833.7901000000002</v>
      </c>
      <c r="G4" s="120">
        <f>F4*E4</f>
        <v>0</v>
      </c>
      <c r="H4" s="265"/>
      <c r="I4" s="233"/>
      <c r="J4" s="148"/>
      <c r="K4" s="18"/>
    </row>
    <row r="5" spans="1:14" ht="13.9" customHeight="1" x14ac:dyDescent="0.25">
      <c r="A5" s="147"/>
      <c r="B5" s="208"/>
      <c r="C5" s="148"/>
      <c r="D5" s="149"/>
      <c r="E5" s="150"/>
      <c r="F5" s="149" t="str">
        <f>CONCATENATE("Total do Item ",C3," - ",C2,":")</f>
        <v>Total do Item Mão de Obra de Terraplenagem - Equipe de Produção:</v>
      </c>
      <c r="G5" s="266">
        <f>SUM(G4:G4)</f>
        <v>0</v>
      </c>
      <c r="H5" s="267"/>
      <c r="I5" s="233"/>
      <c r="J5" s="148"/>
      <c r="K5" s="18"/>
    </row>
    <row r="6" spans="1:14" ht="13.9" customHeight="1" x14ac:dyDescent="0.25">
      <c r="A6" s="502" t="s">
        <v>292</v>
      </c>
      <c r="B6" s="228"/>
      <c r="C6" s="504" t="s">
        <v>27</v>
      </c>
      <c r="D6" s="502" t="s">
        <v>2</v>
      </c>
      <c r="E6" s="508" t="s">
        <v>3</v>
      </c>
      <c r="F6" s="508" t="s">
        <v>28</v>
      </c>
      <c r="G6" s="508" t="s">
        <v>243</v>
      </c>
      <c r="H6" s="517" t="s">
        <v>29</v>
      </c>
      <c r="I6" s="518"/>
      <c r="J6" s="515" t="s">
        <v>265</v>
      </c>
      <c r="K6" s="18"/>
    </row>
    <row r="7" spans="1:14" ht="14.45" customHeight="1" x14ac:dyDescent="0.25">
      <c r="A7" s="503"/>
      <c r="B7" s="229"/>
      <c r="C7" s="505"/>
      <c r="D7" s="503"/>
      <c r="E7" s="509"/>
      <c r="F7" s="509"/>
      <c r="G7" s="509"/>
      <c r="H7" s="153" t="s">
        <v>30</v>
      </c>
      <c r="I7" s="153" t="s">
        <v>31</v>
      </c>
      <c r="J7" s="516"/>
      <c r="K7" s="18"/>
    </row>
    <row r="8" spans="1:14" ht="14.45" customHeight="1" x14ac:dyDescent="0.25">
      <c r="A8" s="67" t="s">
        <v>287</v>
      </c>
      <c r="B8" s="69" t="str">
        <f>'TABELAS DE REFERÊNCIA'!B154</f>
        <v>E9093</v>
      </c>
      <c r="C8" s="56" t="s">
        <v>621</v>
      </c>
      <c r="D8" s="57" t="s">
        <v>364</v>
      </c>
      <c r="E8" s="58">
        <v>0</v>
      </c>
      <c r="F8" s="70">
        <v>44</v>
      </c>
      <c r="G8" s="70">
        <f>220-F8</f>
        <v>176</v>
      </c>
      <c r="H8" s="330">
        <f>'FIXA - construção'!H30</f>
        <v>36.255600000000001</v>
      </c>
      <c r="I8" s="330">
        <f>'FIXA - construção'!I30</f>
        <v>6.5629</v>
      </c>
      <c r="J8" s="120">
        <f>E8*((F8*H8)+(G8*I8))</f>
        <v>0</v>
      </c>
      <c r="K8" s="169"/>
    </row>
    <row r="9" spans="1:14" ht="14.45" customHeight="1" x14ac:dyDescent="0.25">
      <c r="A9" s="154"/>
      <c r="B9" s="155"/>
      <c r="C9" s="156"/>
      <c r="D9" s="352"/>
      <c r="E9" s="157"/>
      <c r="F9" s="158"/>
      <c r="G9" s="158"/>
      <c r="H9" s="158"/>
      <c r="I9" s="353" t="str">
        <f>CONCATENATE("Total do Item ",C2," - ",C6,":")</f>
        <v>Total do Item Equipe de Produção - Veículos:</v>
      </c>
      <c r="J9" s="141">
        <f>SUM(J8)</f>
        <v>0</v>
      </c>
      <c r="K9" s="18"/>
    </row>
    <row r="10" spans="1:14" ht="18" x14ac:dyDescent="0.25">
      <c r="A10" s="154"/>
      <c r="B10" s="155"/>
      <c r="C10" s="156"/>
      <c r="D10" s="158"/>
      <c r="E10" s="158"/>
      <c r="F10" s="352"/>
      <c r="G10" s="157"/>
      <c r="H10" s="157"/>
      <c r="I10" s="353" t="str">
        <f>CONCATENATE("Total do Item ",C2,":")</f>
        <v>Total do Item Equipe de Produção:</v>
      </c>
      <c r="J10" s="143">
        <f>G5+J9</f>
        <v>0</v>
      </c>
      <c r="K10" s="171"/>
    </row>
    <row r="11" spans="1:14" ht="15" x14ac:dyDescent="0.25">
      <c r="A11" s="61" t="s">
        <v>1</v>
      </c>
      <c r="B11" s="98"/>
      <c r="C11" s="212" t="s">
        <v>9</v>
      </c>
      <c r="D11" s="61" t="s">
        <v>2</v>
      </c>
      <c r="E11" s="61" t="s">
        <v>3</v>
      </c>
      <c r="F11" s="152" t="s">
        <v>10</v>
      </c>
      <c r="G11" s="153" t="s">
        <v>265</v>
      </c>
      <c r="H11" s="232"/>
      <c r="I11" s="233"/>
      <c r="J11" s="148"/>
      <c r="K11" s="18"/>
    </row>
    <row r="12" spans="1:14" ht="15" x14ac:dyDescent="0.25">
      <c r="A12" s="61" t="s">
        <v>293</v>
      </c>
      <c r="B12" s="98"/>
      <c r="C12" s="210" t="s">
        <v>262</v>
      </c>
      <c r="D12" s="67" t="s">
        <v>14</v>
      </c>
      <c r="E12" s="65"/>
      <c r="F12" s="100"/>
      <c r="G12" s="146"/>
      <c r="H12" s="232"/>
      <c r="I12" s="233"/>
      <c r="J12" s="148"/>
      <c r="K12" s="18"/>
    </row>
    <row r="13" spans="1:14" x14ac:dyDescent="0.2">
      <c r="A13" s="67" t="s">
        <v>288</v>
      </c>
      <c r="B13" s="101" t="str">
        <f>'TABELAS DE REFERÊNCIA'!B160</f>
        <v>P9893</v>
      </c>
      <c r="C13" s="56" t="s">
        <v>623</v>
      </c>
      <c r="D13" s="57" t="s">
        <v>611</v>
      </c>
      <c r="E13" s="58">
        <v>1</v>
      </c>
      <c r="F13" s="55">
        <f>VLOOKUP(B13,MO!$A$5:$F$114,6,0)</f>
        <v>7833.7901000000002</v>
      </c>
      <c r="G13" s="120">
        <f>F13*E13</f>
        <v>7833.7901000000002</v>
      </c>
      <c r="H13" s="265"/>
      <c r="I13" s="233"/>
      <c r="J13" s="148"/>
      <c r="K13" s="18"/>
    </row>
    <row r="14" spans="1:14" ht="18" x14ac:dyDescent="0.25">
      <c r="A14" s="147"/>
      <c r="B14" s="208"/>
      <c r="C14" s="148"/>
      <c r="D14" s="149"/>
      <c r="E14" s="150"/>
      <c r="F14" s="149" t="str">
        <f>CONCATENATE("Total do Item ",C3," - ",C2,":")</f>
        <v>Total do Item Mão de Obra de Terraplenagem - Equipe de Produção:</v>
      </c>
      <c r="G14" s="266">
        <f>SUM(G13:G13)</f>
        <v>7833.7901000000002</v>
      </c>
      <c r="H14" s="267"/>
      <c r="I14" s="233"/>
      <c r="J14" s="148"/>
      <c r="K14" s="18"/>
    </row>
    <row r="15" spans="1:14" ht="15" x14ac:dyDescent="0.25">
      <c r="A15" s="502" t="s">
        <v>294</v>
      </c>
      <c r="B15" s="228"/>
      <c r="C15" s="504" t="s">
        <v>27</v>
      </c>
      <c r="D15" s="502" t="s">
        <v>2</v>
      </c>
      <c r="E15" s="508" t="s">
        <v>3</v>
      </c>
      <c r="F15" s="508" t="s">
        <v>28</v>
      </c>
      <c r="G15" s="508" t="s">
        <v>243</v>
      </c>
      <c r="H15" s="517" t="s">
        <v>29</v>
      </c>
      <c r="I15" s="518"/>
      <c r="J15" s="515" t="s">
        <v>265</v>
      </c>
      <c r="K15" s="18"/>
    </row>
    <row r="16" spans="1:14" ht="15" x14ac:dyDescent="0.25">
      <c r="A16" s="503"/>
      <c r="B16" s="229"/>
      <c r="C16" s="505"/>
      <c r="D16" s="503"/>
      <c r="E16" s="509"/>
      <c r="F16" s="509"/>
      <c r="G16" s="509"/>
      <c r="H16" s="153" t="s">
        <v>30</v>
      </c>
      <c r="I16" s="153" t="s">
        <v>31</v>
      </c>
      <c r="J16" s="516"/>
      <c r="K16" s="18"/>
    </row>
    <row r="17" spans="1:11" x14ac:dyDescent="0.25">
      <c r="A17" s="67" t="s">
        <v>290</v>
      </c>
      <c r="B17" s="69" t="str">
        <f>'TABELAS DE REFERÊNCIA'!B162</f>
        <v>E9093</v>
      </c>
      <c r="C17" s="56" t="s">
        <v>621</v>
      </c>
      <c r="D17" s="57" t="s">
        <v>364</v>
      </c>
      <c r="E17" s="58">
        <v>1</v>
      </c>
      <c r="F17" s="70">
        <v>44</v>
      </c>
      <c r="G17" s="70">
        <f>220-F17</f>
        <v>176</v>
      </c>
      <c r="H17" s="330">
        <f>H8</f>
        <v>36.255600000000001</v>
      </c>
      <c r="I17" s="330">
        <f>I8</f>
        <v>6.5629</v>
      </c>
      <c r="J17" s="120">
        <f>E17*((F17*H17)+(G17*I17))</f>
        <v>2750.3168000000001</v>
      </c>
      <c r="K17" s="169"/>
    </row>
    <row r="18" spans="1:11" ht="15" x14ac:dyDescent="0.25">
      <c r="A18" s="154"/>
      <c r="B18" s="155"/>
      <c r="C18" s="156"/>
      <c r="D18" s="352"/>
      <c r="E18" s="157"/>
      <c r="F18" s="158"/>
      <c r="G18" s="158"/>
      <c r="H18" s="158"/>
      <c r="I18" s="353" t="str">
        <f>CONCATENATE("Total do Item ",C2," - ",C6,":")</f>
        <v>Total do Item Equipe de Produção - Veículos:</v>
      </c>
      <c r="J18" s="141">
        <f>SUM(J17)</f>
        <v>2750.3168000000001</v>
      </c>
      <c r="K18" s="18"/>
    </row>
    <row r="19" spans="1:11" ht="18" x14ac:dyDescent="0.25">
      <c r="A19" s="154"/>
      <c r="B19" s="155"/>
      <c r="C19" s="156"/>
      <c r="D19" s="158"/>
      <c r="E19" s="158"/>
      <c r="F19" s="352"/>
      <c r="G19" s="157"/>
      <c r="H19" s="157"/>
      <c r="I19" s="353" t="str">
        <f>CONCATENATE("Total do Item ",C2,":")</f>
        <v>Total do Item Equipe de Produção:</v>
      </c>
      <c r="J19" s="143">
        <f>G14+J18</f>
        <v>10584.106900000001</v>
      </c>
      <c r="K19" s="171"/>
    </row>
    <row r="20" spans="1:11" ht="15" x14ac:dyDescent="0.25">
      <c r="A20" s="189"/>
      <c r="B20" s="208"/>
      <c r="C20" s="148"/>
      <c r="D20" s="148"/>
      <c r="E20" s="148"/>
      <c r="F20" s="220"/>
      <c r="G20" s="230"/>
      <c r="H20" s="230"/>
      <c r="I20" s="220"/>
      <c r="J20" s="68"/>
    </row>
    <row r="21" spans="1:11" ht="15" x14ac:dyDescent="0.25">
      <c r="A21" s="61" t="s">
        <v>6</v>
      </c>
      <c r="B21" s="98"/>
      <c r="C21" s="210" t="s">
        <v>155</v>
      </c>
      <c r="D21" s="61" t="s">
        <v>2</v>
      </c>
      <c r="E21" s="61" t="s">
        <v>3</v>
      </c>
      <c r="F21" s="152" t="s">
        <v>10</v>
      </c>
      <c r="G21" s="153" t="s">
        <v>265</v>
      </c>
      <c r="H21" s="232"/>
      <c r="I21" s="233"/>
      <c r="J21" s="148"/>
      <c r="K21" s="18"/>
    </row>
    <row r="22" spans="1:11" ht="18" x14ac:dyDescent="0.25">
      <c r="A22" s="61" t="s">
        <v>295</v>
      </c>
      <c r="B22" s="98"/>
      <c r="C22" s="210" t="s">
        <v>12</v>
      </c>
      <c r="D22" s="145"/>
      <c r="E22" s="65"/>
      <c r="F22" s="146"/>
      <c r="G22" s="146"/>
      <c r="H22" s="232"/>
      <c r="I22" s="267"/>
      <c r="J22" s="148"/>
      <c r="K22" s="18"/>
    </row>
    <row r="23" spans="1:11" x14ac:dyDescent="0.2">
      <c r="A23" s="67" t="s">
        <v>296</v>
      </c>
      <c r="B23" s="101" t="str">
        <f>'TABELAS DE REFERÊNCIA'!B190</f>
        <v>P9949</v>
      </c>
      <c r="C23" s="56" t="s">
        <v>624</v>
      </c>
      <c r="D23" s="57" t="s">
        <v>611</v>
      </c>
      <c r="E23" s="58">
        <v>1</v>
      </c>
      <c r="F23" s="398">
        <f>VLOOKUP(B23,MO!$A$5:$F$114,6,0)</f>
        <v>6489.8014000000003</v>
      </c>
      <c r="G23" s="120">
        <f>F23*E23</f>
        <v>6489.8014000000003</v>
      </c>
      <c r="H23" s="188"/>
      <c r="I23" s="233"/>
      <c r="J23" s="148"/>
      <c r="K23" s="18"/>
    </row>
    <row r="24" spans="1:11" x14ac:dyDescent="0.2">
      <c r="A24" s="67" t="s">
        <v>327</v>
      </c>
      <c r="B24" s="101" t="str">
        <f>'TABELAS DE REFERÊNCIA'!B191</f>
        <v>P9950</v>
      </c>
      <c r="C24" s="56" t="s">
        <v>625</v>
      </c>
      <c r="D24" s="57" t="s">
        <v>611</v>
      </c>
      <c r="E24" s="58">
        <v>1</v>
      </c>
      <c r="F24" s="398">
        <f>VLOOKUP(B24,MO!$A$5:$F$114,6,0)</f>
        <v>4619.8130000000001</v>
      </c>
      <c r="G24" s="120">
        <f>F24*E24</f>
        <v>4619.8130000000001</v>
      </c>
      <c r="H24" s="188"/>
      <c r="I24" s="233"/>
      <c r="J24" s="148"/>
      <c r="K24" s="18"/>
    </row>
    <row r="25" spans="1:11" ht="15" x14ac:dyDescent="0.25">
      <c r="A25" s="147"/>
      <c r="B25" s="208"/>
      <c r="C25" s="148"/>
      <c r="D25" s="149"/>
      <c r="E25" s="150"/>
      <c r="F25" s="149" t="str">
        <f>CONCATENATE("Total do Item ",C22," - ",C21,":")</f>
        <v>Total do Item Mão de Obra - Equipe de Topografia:</v>
      </c>
      <c r="G25" s="266">
        <f>SUM(G23:G24)</f>
        <v>11109.6144</v>
      </c>
      <c r="H25" s="232"/>
      <c r="I25" s="233"/>
      <c r="J25" s="148"/>
      <c r="K25" s="18"/>
    </row>
    <row r="26" spans="1:11" ht="15" x14ac:dyDescent="0.25">
      <c r="A26" s="502" t="s">
        <v>58</v>
      </c>
      <c r="B26" s="228"/>
      <c r="C26" s="504" t="s">
        <v>27</v>
      </c>
      <c r="D26" s="502" t="s">
        <v>2</v>
      </c>
      <c r="E26" s="508" t="s">
        <v>3</v>
      </c>
      <c r="F26" s="508" t="s">
        <v>28</v>
      </c>
      <c r="G26" s="508" t="s">
        <v>243</v>
      </c>
      <c r="H26" s="517" t="s">
        <v>29</v>
      </c>
      <c r="I26" s="518"/>
      <c r="J26" s="515" t="s">
        <v>265</v>
      </c>
      <c r="K26" s="18"/>
    </row>
    <row r="27" spans="1:11" ht="15" x14ac:dyDescent="0.25">
      <c r="A27" s="503"/>
      <c r="B27" s="229"/>
      <c r="C27" s="505"/>
      <c r="D27" s="503"/>
      <c r="E27" s="509"/>
      <c r="F27" s="509"/>
      <c r="G27" s="509"/>
      <c r="H27" s="153" t="s">
        <v>30</v>
      </c>
      <c r="I27" s="153" t="s">
        <v>31</v>
      </c>
      <c r="J27" s="516"/>
      <c r="K27" s="18"/>
    </row>
    <row r="28" spans="1:11" x14ac:dyDescent="0.25">
      <c r="A28" s="67" t="s">
        <v>247</v>
      </c>
      <c r="B28" s="69" t="str">
        <f>'TABELAS DE REFERÊNCIA'!B183</f>
        <v>E9093</v>
      </c>
      <c r="C28" s="56" t="s">
        <v>621</v>
      </c>
      <c r="D28" s="57" t="s">
        <v>364</v>
      </c>
      <c r="E28" s="58">
        <v>1</v>
      </c>
      <c r="F28" s="70">
        <v>44</v>
      </c>
      <c r="G28" s="70">
        <f>220-F28</f>
        <v>176</v>
      </c>
      <c r="H28" s="330">
        <f>H17</f>
        <v>36.255600000000001</v>
      </c>
      <c r="I28" s="330">
        <f>I17</f>
        <v>6.5629</v>
      </c>
      <c r="J28" s="120">
        <f>E28*((F28*H28)+(G28*I28))</f>
        <v>2750.3168000000001</v>
      </c>
      <c r="K28" s="207"/>
    </row>
    <row r="29" spans="1:11" ht="15" x14ac:dyDescent="0.25">
      <c r="A29" s="154"/>
      <c r="B29" s="155"/>
      <c r="C29" s="156"/>
      <c r="D29" s="352"/>
      <c r="E29" s="157"/>
      <c r="F29" s="158"/>
      <c r="G29" s="158"/>
      <c r="H29" s="158"/>
      <c r="I29" s="353" t="str">
        <f>CONCATENATE("Total do Item ",C21," - ",C26,":")</f>
        <v>Total do Item Equipe de Topografia - Veículos:</v>
      </c>
      <c r="J29" s="141">
        <f>SUM(J28)</f>
        <v>2750.3168000000001</v>
      </c>
      <c r="K29" s="18"/>
    </row>
    <row r="30" spans="1:11" ht="15" x14ac:dyDescent="0.25">
      <c r="A30" s="154"/>
      <c r="B30" s="155"/>
      <c r="C30" s="156"/>
      <c r="D30" s="158"/>
      <c r="E30" s="158"/>
      <c r="F30" s="352"/>
      <c r="G30" s="157"/>
      <c r="H30" s="157"/>
      <c r="I30" s="353" t="str">
        <f>CONCATENATE("Total do Item ",C21,":")</f>
        <v>Total do Item Equipe de Topografia:</v>
      </c>
      <c r="J30" s="143">
        <f>G25+J29</f>
        <v>13859.931200000001</v>
      </c>
    </row>
    <row r="31" spans="1:11" ht="15" x14ac:dyDescent="0.25">
      <c r="A31" s="189"/>
      <c r="B31" s="208"/>
      <c r="C31" s="148"/>
      <c r="D31" s="148"/>
      <c r="E31" s="148"/>
      <c r="F31" s="220"/>
      <c r="G31" s="230"/>
      <c r="H31" s="148"/>
      <c r="I31" s="148"/>
      <c r="J31" s="220"/>
    </row>
    <row r="32" spans="1:11" ht="30" x14ac:dyDescent="0.25">
      <c r="A32" s="61" t="s">
        <v>1</v>
      </c>
      <c r="B32" s="79"/>
      <c r="C32" s="79" t="s">
        <v>9</v>
      </c>
      <c r="D32" s="61" t="s">
        <v>2</v>
      </c>
      <c r="E32" s="63" t="s">
        <v>3</v>
      </c>
      <c r="F32" s="152" t="s">
        <v>10</v>
      </c>
      <c r="G32" s="153" t="s">
        <v>265</v>
      </c>
      <c r="H32" s="188"/>
      <c r="I32" s="188"/>
      <c r="J32" s="233"/>
    </row>
    <row r="33" spans="1:16" ht="15" x14ac:dyDescent="0.25">
      <c r="A33" s="61" t="s">
        <v>7</v>
      </c>
      <c r="B33" s="79"/>
      <c r="C33" s="80" t="s">
        <v>26</v>
      </c>
      <c r="D33" s="145" t="s">
        <v>14</v>
      </c>
      <c r="E33" s="63"/>
      <c r="F33" s="152"/>
      <c r="G33" s="152"/>
      <c r="H33" s="188"/>
      <c r="I33" s="188"/>
      <c r="J33" s="233"/>
    </row>
    <row r="34" spans="1:16" x14ac:dyDescent="0.2">
      <c r="A34" s="67" t="s">
        <v>133</v>
      </c>
      <c r="B34" s="69" t="s">
        <v>94</v>
      </c>
      <c r="C34" s="56" t="s">
        <v>626</v>
      </c>
      <c r="D34" s="57" t="s">
        <v>611</v>
      </c>
      <c r="E34" s="58">
        <v>1</v>
      </c>
      <c r="F34" s="398">
        <f>VLOOKUP(B34,MO!$A$5:$F$114,6,0)</f>
        <v>6647.4265999999998</v>
      </c>
      <c r="G34" s="120">
        <f>F34*E34</f>
        <v>6647.4265999999998</v>
      </c>
      <c r="H34" s="188"/>
      <c r="I34" s="188"/>
      <c r="J34" s="233"/>
    </row>
    <row r="35" spans="1:16" ht="15" x14ac:dyDescent="0.25">
      <c r="A35" s="154"/>
      <c r="B35" s="155"/>
      <c r="C35" s="156"/>
      <c r="D35" s="352"/>
      <c r="E35" s="157"/>
      <c r="F35" s="353" t="str">
        <f>CONCATENATE("Total do Item ",'FIXA - construção'!$C$2," - ",C33,":")</f>
        <v>Total do Item Mão de Obra - Setor de Medicina e Segurança do Trabalho:</v>
      </c>
      <c r="G35" s="143">
        <f>SUM(G34:G34)</f>
        <v>6647.4265999999998</v>
      </c>
      <c r="H35" s="188"/>
      <c r="I35" s="188"/>
      <c r="J35" s="233"/>
    </row>
    <row r="36" spans="1:16" s="128" customFormat="1" ht="15" thickBot="1" x14ac:dyDescent="0.3">
      <c r="A36" s="129"/>
      <c r="B36" s="102"/>
      <c r="C36" s="18"/>
      <c r="D36" s="18"/>
      <c r="E36" s="18"/>
      <c r="F36" s="102"/>
      <c r="G36" s="130"/>
      <c r="J36" s="99"/>
      <c r="K36" s="99"/>
      <c r="L36" s="18"/>
    </row>
    <row r="37" spans="1:16" ht="15" x14ac:dyDescent="0.25">
      <c r="A37" s="189"/>
      <c r="B37" s="189"/>
      <c r="C37" s="148"/>
      <c r="D37" s="220"/>
      <c r="E37" s="343"/>
      <c r="F37" s="251"/>
      <c r="G37" s="72"/>
      <c r="H37" s="289"/>
      <c r="I37" s="290"/>
      <c r="J37" s="18"/>
      <c r="L37" s="519" t="s">
        <v>318</v>
      </c>
      <c r="M37" s="520"/>
    </row>
    <row r="38" spans="1:16" ht="15" x14ac:dyDescent="0.25">
      <c r="A38" s="497" t="s">
        <v>350</v>
      </c>
      <c r="B38" s="498"/>
      <c r="C38" s="498"/>
      <c r="D38" s="498"/>
      <c r="E38" s="498"/>
      <c r="F38" s="498"/>
      <c r="G38" s="498"/>
      <c r="H38" s="498"/>
      <c r="I38" s="499"/>
      <c r="J38" s="143">
        <f>J10+J19+J30</f>
        <v>24444.038100000002</v>
      </c>
      <c r="L38" s="521"/>
      <c r="M38" s="522"/>
    </row>
    <row r="39" spans="1:16" x14ac:dyDescent="0.25">
      <c r="J39" s="233"/>
      <c r="L39" s="521"/>
      <c r="M39" s="522"/>
    </row>
    <row r="40" spans="1:16" ht="15.75" thickBot="1" x14ac:dyDescent="0.3">
      <c r="A40" s="497" t="s">
        <v>544</v>
      </c>
      <c r="B40" s="498"/>
      <c r="C40" s="498"/>
      <c r="D40" s="498"/>
      <c r="E40" s="498"/>
      <c r="F40" s="498"/>
      <c r="G40" s="498"/>
      <c r="H40" s="498"/>
      <c r="I40" s="499"/>
      <c r="J40" s="143">
        <f>ROUNDUP(G35,0)</f>
        <v>6648</v>
      </c>
      <c r="L40" s="523"/>
      <c r="M40" s="524"/>
    </row>
    <row r="42" spans="1:16" ht="15" x14ac:dyDescent="0.25">
      <c r="A42" s="497" t="s">
        <v>350</v>
      </c>
      <c r="B42" s="498"/>
      <c r="C42" s="498"/>
      <c r="D42" s="498"/>
      <c r="E42" s="498"/>
      <c r="F42" s="498"/>
      <c r="G42" s="498"/>
      <c r="H42" s="498"/>
      <c r="I42" s="499"/>
      <c r="J42" s="143">
        <f>SUM(E4,E13,E23,E24,E34)</f>
        <v>4</v>
      </c>
      <c r="K42" s="18"/>
    </row>
    <row r="45" spans="1:16" ht="15" thickBot="1" x14ac:dyDescent="0.3"/>
    <row r="46" spans="1:16" ht="15" x14ac:dyDescent="0.25">
      <c r="L46" s="525" t="s">
        <v>319</v>
      </c>
      <c r="M46" s="526"/>
      <c r="N46" s="526"/>
      <c r="O46" s="526"/>
      <c r="P46" s="527"/>
    </row>
    <row r="47" spans="1:16" ht="15.75" thickBot="1" x14ac:dyDescent="0.3">
      <c r="L47" s="338" t="s">
        <v>320</v>
      </c>
      <c r="M47" s="339"/>
      <c r="N47" s="340"/>
      <c r="O47" s="341"/>
      <c r="P47" s="342" t="e">
        <f>ROUNDUP((#REF!*1.33+('VARIÁVEL - FRENTES DE SERVIÇOS'!H54+#REF!+#REF!)*1.33+'FIXA - construção'!J38+'VINCULADA - construção'!J38),0)</f>
        <v>#REF!</v>
      </c>
    </row>
    <row r="77" spans="11:11" ht="18.75" customHeight="1" x14ac:dyDescent="0.25">
      <c r="K77" s="118"/>
    </row>
    <row r="78" spans="11:11" x14ac:dyDescent="0.25">
      <c r="K78" s="18"/>
    </row>
  </sheetData>
  <mergeCells count="29">
    <mergeCell ref="E6:E7"/>
    <mergeCell ref="A26:A27"/>
    <mergeCell ref="D26:D27"/>
    <mergeCell ref="E26:E27"/>
    <mergeCell ref="F26:F27"/>
    <mergeCell ref="C26:C27"/>
    <mergeCell ref="A6:A7"/>
    <mergeCell ref="D6:D7"/>
    <mergeCell ref="A15:A16"/>
    <mergeCell ref="C15:C16"/>
    <mergeCell ref="D15:D16"/>
    <mergeCell ref="C6:C7"/>
    <mergeCell ref="F6:F7"/>
    <mergeCell ref="L37:M40"/>
    <mergeCell ref="E15:E16"/>
    <mergeCell ref="A38:I38"/>
    <mergeCell ref="A40:I40"/>
    <mergeCell ref="L46:P46"/>
    <mergeCell ref="F15:F16"/>
    <mergeCell ref="A42:I42"/>
    <mergeCell ref="J6:J7"/>
    <mergeCell ref="G26:G27"/>
    <mergeCell ref="H26:I26"/>
    <mergeCell ref="J26:J27"/>
    <mergeCell ref="G6:G7"/>
    <mergeCell ref="H6:I6"/>
    <mergeCell ref="G15:G16"/>
    <mergeCell ref="H15:I15"/>
    <mergeCell ref="J15:J16"/>
  </mergeCells>
  <phoneticPr fontId="60" type="noConversion"/>
  <printOptions horizontalCentered="1"/>
  <pageMargins left="0.78740157480314965" right="0.51181102362204722" top="0.78740157480314965" bottom="0.78740157480314965" header="0.31496062992125984" footer="0.31496062992125984"/>
  <pageSetup paperSize="9" scale="48" fitToHeight="0" orientation="portrait" r:id="rId1"/>
  <headerFooter>
    <oddFooter>&amp;C&amp;A</oddFooter>
  </headerFooter>
  <ignoredErrors>
    <ignoredError sqref="A2" numberStoredAsText="1"/>
  </ignoredErrors>
  <drawing r:id="rId2"/>
  <legacyDrawing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0000FF"/>
    <pageSetUpPr fitToPage="1"/>
  </sheetPr>
  <dimension ref="B1:T137"/>
  <sheetViews>
    <sheetView showGridLines="0" view="pageBreakPreview" zoomScale="55" zoomScaleNormal="55" zoomScaleSheetLayoutView="55" workbookViewId="0">
      <selection activeCell="T38" sqref="T38"/>
    </sheetView>
  </sheetViews>
  <sheetFormatPr defaultColWidth="9.140625" defaultRowHeight="14.25" x14ac:dyDescent="0.2"/>
  <cols>
    <col min="1" max="1" width="5.7109375" style="53" customWidth="1"/>
    <col min="2" max="2" width="9.140625" style="224"/>
    <col min="3" max="3" width="14" style="225" bestFit="1" customWidth="1"/>
    <col min="4" max="4" width="96.7109375" style="224" customWidth="1"/>
    <col min="5" max="5" width="10.85546875" style="224" bestFit="1" customWidth="1"/>
    <col min="6" max="6" width="15.7109375" style="224" bestFit="1" customWidth="1"/>
    <col min="7" max="7" width="16" style="224" customWidth="1"/>
    <col min="8" max="8" width="14.85546875" style="224" customWidth="1"/>
    <col min="9" max="9" width="9.140625" style="53"/>
    <col min="10" max="10" width="14.5703125" style="53" customWidth="1"/>
    <col min="11" max="12" width="9.140625" style="53"/>
    <col min="13" max="13" width="38.5703125" style="53" bestFit="1" customWidth="1"/>
    <col min="14" max="16384" width="9.140625" style="53"/>
  </cols>
  <sheetData>
    <row r="1" spans="2:20" x14ac:dyDescent="0.2">
      <c r="F1" s="344"/>
      <c r="G1" s="345" t="s">
        <v>158</v>
      </c>
      <c r="H1" s="376">
        <v>182.49</v>
      </c>
      <c r="J1" s="216"/>
      <c r="K1" s="53" t="s">
        <v>333</v>
      </c>
    </row>
    <row r="2" spans="2:20" ht="18" customHeight="1" x14ac:dyDescent="0.2">
      <c r="B2" s="529" t="s">
        <v>277</v>
      </c>
      <c r="C2" s="530"/>
      <c r="D2" s="530"/>
      <c r="E2" s="530"/>
      <c r="F2" s="530"/>
      <c r="G2" s="530"/>
      <c r="H2" s="531"/>
    </row>
    <row r="3" spans="2:20" ht="18" customHeight="1" x14ac:dyDescent="0.2">
      <c r="B3" s="145" t="s">
        <v>1</v>
      </c>
      <c r="C3" s="145"/>
      <c r="D3" s="145" t="s">
        <v>9</v>
      </c>
      <c r="E3" s="145" t="s">
        <v>2</v>
      </c>
      <c r="F3" s="179" t="s">
        <v>3</v>
      </c>
      <c r="G3" s="79" t="s">
        <v>10</v>
      </c>
      <c r="H3" s="145" t="s">
        <v>11</v>
      </c>
    </row>
    <row r="4" spans="2:20" ht="18" customHeight="1" x14ac:dyDescent="0.2">
      <c r="B4" s="145">
        <v>1</v>
      </c>
      <c r="C4" s="145"/>
      <c r="D4" s="180" t="s">
        <v>41</v>
      </c>
      <c r="E4" s="145"/>
      <c r="F4" s="181"/>
      <c r="G4" s="145"/>
      <c r="H4" s="181"/>
    </row>
    <row r="5" spans="2:20" ht="18" customHeight="1" x14ac:dyDescent="0.2">
      <c r="B5" s="57" t="s">
        <v>165</v>
      </c>
      <c r="C5" s="57" t="s">
        <v>97</v>
      </c>
      <c r="D5" s="56" t="s">
        <v>627</v>
      </c>
      <c r="E5" s="57" t="s">
        <v>611</v>
      </c>
      <c r="F5" s="58">
        <v>0.5</v>
      </c>
      <c r="G5" s="400">
        <f>VLOOKUP(C5,MO!$A$5:$F$114,6,0)</f>
        <v>5322.8864999999996</v>
      </c>
      <c r="H5" s="144">
        <f>G5*F5</f>
        <v>2661.4432499999998</v>
      </c>
    </row>
    <row r="6" spans="2:20" ht="18" customHeight="1" x14ac:dyDescent="0.2">
      <c r="B6" s="57" t="s">
        <v>166</v>
      </c>
      <c r="C6" s="57" t="s">
        <v>100</v>
      </c>
      <c r="D6" s="56" t="s">
        <v>628</v>
      </c>
      <c r="E6" s="57" t="s">
        <v>611</v>
      </c>
      <c r="F6" s="58">
        <v>0.5</v>
      </c>
      <c r="G6" s="400">
        <f>VLOOKUP(C6,MO!$A$5:$F$114,6,0)</f>
        <v>4449.6459999999997</v>
      </c>
      <c r="H6" s="144">
        <f>G6*F6</f>
        <v>2224.8229999999999</v>
      </c>
    </row>
    <row r="7" spans="2:20" ht="18" customHeight="1" x14ac:dyDescent="0.2">
      <c r="B7" s="156"/>
      <c r="C7" s="155"/>
      <c r="D7" s="156"/>
      <c r="E7" s="185"/>
      <c r="F7" s="186"/>
      <c r="G7" s="353" t="str">
        <f>CONCATENATE("Total do Item ",D4,":")</f>
        <v>Total do Item Equipe de Frente de Serviço:</v>
      </c>
      <c r="H7" s="52">
        <f>SUM(H5:H6)</f>
        <v>4886.2662499999997</v>
      </c>
    </row>
    <row r="8" spans="2:20" ht="9.9499999999999993" customHeight="1" x14ac:dyDescent="0.2">
      <c r="B8" s="346"/>
      <c r="H8" s="347"/>
    </row>
    <row r="9" spans="2:20" x14ac:dyDescent="0.2">
      <c r="B9" s="346" t="s">
        <v>593</v>
      </c>
      <c r="H9" s="347"/>
    </row>
    <row r="10" spans="2:20" ht="30" customHeight="1" x14ac:dyDescent="0.2">
      <c r="B10" s="145" t="s">
        <v>1</v>
      </c>
      <c r="C10" s="145"/>
      <c r="D10" s="145" t="s">
        <v>9</v>
      </c>
      <c r="E10" s="145" t="s">
        <v>2</v>
      </c>
      <c r="F10" s="179" t="s">
        <v>3</v>
      </c>
      <c r="G10" s="79" t="s">
        <v>42</v>
      </c>
      <c r="H10" s="145" t="s">
        <v>337</v>
      </c>
    </row>
    <row r="11" spans="2:20" ht="18" customHeight="1" x14ac:dyDescent="0.2">
      <c r="B11" s="145">
        <v>2</v>
      </c>
      <c r="C11" s="145"/>
      <c r="D11" s="180" t="s">
        <v>43</v>
      </c>
      <c r="E11" s="145"/>
      <c r="F11" s="181" t="s">
        <v>4</v>
      </c>
      <c r="G11" s="145" t="s">
        <v>4</v>
      </c>
      <c r="H11" s="181" t="s">
        <v>4</v>
      </c>
    </row>
    <row r="12" spans="2:20" s="60" customFormat="1" ht="18" customHeight="1" x14ac:dyDescent="0.25">
      <c r="B12" s="191" t="s">
        <v>57</v>
      </c>
      <c r="C12" s="191">
        <f>QUANT!A9</f>
        <v>4011480</v>
      </c>
      <c r="D12" s="439" t="str">
        <f>QUANT!B9</f>
        <v>FRESAGEM DESCONTÍNUA DE REVESTIMENTO ASFÁLTICO</v>
      </c>
      <c r="E12" s="191" t="str">
        <f>QUANT!C9</f>
        <v>M³</v>
      </c>
      <c r="F12" s="144">
        <f>QUANT!D9</f>
        <v>445</v>
      </c>
      <c r="G12" s="440">
        <v>49.2</v>
      </c>
      <c r="H12" s="192">
        <f>ROUND(F12/(G12*$H$1),2)</f>
        <v>0.05</v>
      </c>
      <c r="J12" s="441"/>
      <c r="M12" s="442" t="s">
        <v>328</v>
      </c>
    </row>
    <row r="13" spans="2:20" s="443" customFormat="1" ht="18" customHeight="1" x14ac:dyDescent="0.25">
      <c r="B13" s="191" t="s">
        <v>58</v>
      </c>
      <c r="C13" s="191" t="str">
        <f>QUANT!A10</f>
        <v>4011479</v>
      </c>
      <c r="D13" s="439" t="str">
        <f>QUANT!B10</f>
        <v>FRESAGEM CONTÍNUA DE REVESTIMENTO ASFÁLTICO</v>
      </c>
      <c r="E13" s="191" t="str">
        <f>QUANT!C10</f>
        <v>M³</v>
      </c>
      <c r="F13" s="144">
        <f>QUANT!D10</f>
        <v>240</v>
      </c>
      <c r="G13" s="440">
        <v>99.6</v>
      </c>
      <c r="H13" s="192">
        <f t="shared" ref="H13" si="0">ROUND(F13/(G13*$H$1),2)</f>
        <v>0.01</v>
      </c>
      <c r="J13" s="444"/>
    </row>
    <row r="14" spans="2:20" ht="18" customHeight="1" x14ac:dyDescent="0.2">
      <c r="B14" s="191" t="s">
        <v>731</v>
      </c>
      <c r="C14" s="57" t="str">
        <f>QUANT!A14</f>
        <v>4011209</v>
      </c>
      <c r="D14" s="222" t="str">
        <f>QUANT!B14</f>
        <v>REGULARIZAÇÃO DO SUBLEITO</v>
      </c>
      <c r="E14" s="57" t="str">
        <f>QUANT!C14</f>
        <v>M²</v>
      </c>
      <c r="F14" s="120">
        <f>QUANT!D14</f>
        <v>7500</v>
      </c>
      <c r="G14" s="292">
        <v>1121.33</v>
      </c>
      <c r="H14" s="184">
        <f t="shared" ref="H14" si="1">ROUND(F14/(G14*$H$1),2)</f>
        <v>0.04</v>
      </c>
    </row>
    <row r="15" spans="2:20" ht="18" customHeight="1" x14ac:dyDescent="0.2">
      <c r="B15" s="191" t="s">
        <v>594</v>
      </c>
      <c r="C15" s="57" t="str">
        <f>QUANT!A15</f>
        <v>4011279</v>
      </c>
      <c r="D15" s="222" t="str">
        <f>QUANT!B15</f>
        <v>BASE OU SUB-BASE DE MACADAME SECO COM BRITA COMERCIAL</v>
      </c>
      <c r="E15" s="57" t="str">
        <f>QUANT!C15</f>
        <v>M³</v>
      </c>
      <c r="F15" s="120">
        <f>QUANT!D15</f>
        <v>2625</v>
      </c>
      <c r="G15" s="292">
        <v>84.62</v>
      </c>
      <c r="H15" s="184">
        <f t="shared" ref="H15:H20" si="2">ROUND(F15/(G15*$H$1),2)</f>
        <v>0.17</v>
      </c>
    </row>
    <row r="16" spans="2:20" ht="18" customHeight="1" x14ac:dyDescent="0.2">
      <c r="B16" s="191" t="s">
        <v>595</v>
      </c>
      <c r="C16" s="57" t="str">
        <f>QUANT!A16</f>
        <v>4011276</v>
      </c>
      <c r="D16" s="222" t="str">
        <f>QUANT!B16</f>
        <v>BASE OU SUB-BASE DE BRITA GRADUADA COM BRITA COMERCIAL</v>
      </c>
      <c r="E16" s="57" t="str">
        <f>QUANT!C16</f>
        <v>M³</v>
      </c>
      <c r="F16" s="120">
        <f>QUANT!D16</f>
        <v>1875</v>
      </c>
      <c r="G16" s="292">
        <v>113.18</v>
      </c>
      <c r="H16" s="184">
        <f t="shared" si="2"/>
        <v>0.09</v>
      </c>
      <c r="M16" s="528" t="s">
        <v>339</v>
      </c>
      <c r="N16" s="528"/>
      <c r="O16" s="528"/>
      <c r="P16" s="528"/>
      <c r="Q16" s="528"/>
      <c r="R16" s="528"/>
      <c r="S16" s="528"/>
      <c r="T16" s="528"/>
    </row>
    <row r="17" spans="2:20" ht="18" customHeight="1" x14ac:dyDescent="0.25">
      <c r="B17" s="191" t="s">
        <v>643</v>
      </c>
      <c r="C17" s="57" t="str">
        <f>QUANT!A17</f>
        <v>4011352</v>
      </c>
      <c r="D17" s="222" t="str">
        <f>QUANT!B17</f>
        <v>IMPRIMAÇÃO COM EMULSÃO ASFÁLTICA</v>
      </c>
      <c r="E17" s="57" t="str">
        <f>QUANT!C17</f>
        <v>M²</v>
      </c>
      <c r="F17" s="120">
        <f>QUANT!D17</f>
        <v>7500</v>
      </c>
      <c r="G17" s="292">
        <v>1038.46</v>
      </c>
      <c r="H17" s="184">
        <f t="shared" si="2"/>
        <v>0.04</v>
      </c>
      <c r="J17" s="173"/>
      <c r="M17" s="528"/>
      <c r="N17" s="528"/>
      <c r="O17" s="528"/>
      <c r="P17" s="528"/>
      <c r="Q17" s="528"/>
      <c r="R17" s="528"/>
      <c r="S17" s="528"/>
      <c r="T17" s="528"/>
    </row>
    <row r="18" spans="2:20" ht="18" customHeight="1" x14ac:dyDescent="0.25">
      <c r="B18" s="191" t="s">
        <v>644</v>
      </c>
      <c r="C18" s="57" t="str">
        <f>QUANT!A18</f>
        <v>4011353</v>
      </c>
      <c r="D18" s="222" t="str">
        <f>QUANT!B18</f>
        <v>PINTURA DE LIGAÇÃO</v>
      </c>
      <c r="E18" s="57" t="str">
        <f>QUANT!C18</f>
        <v>M²</v>
      </c>
      <c r="F18" s="120">
        <f>QUANT!D18</f>
        <v>118487</v>
      </c>
      <c r="G18" s="292">
        <v>1500</v>
      </c>
      <c r="H18" s="184">
        <f t="shared" si="2"/>
        <v>0.43</v>
      </c>
      <c r="J18" s="173"/>
      <c r="M18" s="528"/>
      <c r="N18" s="528"/>
      <c r="O18" s="528"/>
      <c r="P18" s="528"/>
      <c r="Q18" s="528"/>
      <c r="R18" s="528"/>
      <c r="S18" s="528"/>
      <c r="T18" s="528"/>
    </row>
    <row r="19" spans="2:20" ht="18" customHeight="1" x14ac:dyDescent="0.25">
      <c r="B19" s="191" t="s">
        <v>645</v>
      </c>
      <c r="C19" s="57" t="str">
        <f>QUANT!A19</f>
        <v>4011471</v>
      </c>
      <c r="D19" s="222" t="str">
        <f>QUANT!B19</f>
        <v>CONCRETO ASFÁLTICO COM BORRACHA - FAIXA C - BRITA COMERCIAL</v>
      </c>
      <c r="E19" s="57" t="str">
        <f>QUANT!C19</f>
        <v>T</v>
      </c>
      <c r="F19" s="120">
        <f>QUANT!D19</f>
        <v>8127</v>
      </c>
      <c r="G19" s="292">
        <v>88.66</v>
      </c>
      <c r="H19" s="184">
        <f t="shared" si="2"/>
        <v>0.5</v>
      </c>
      <c r="J19" s="173"/>
      <c r="M19" s="528"/>
      <c r="N19" s="528"/>
      <c r="O19" s="528"/>
      <c r="P19" s="528"/>
      <c r="Q19" s="528"/>
      <c r="R19" s="528"/>
      <c r="S19" s="528"/>
      <c r="T19" s="528"/>
    </row>
    <row r="20" spans="2:20" ht="18" customHeight="1" x14ac:dyDescent="0.25">
      <c r="B20" s="191" t="s">
        <v>713</v>
      </c>
      <c r="C20" s="57">
        <f>QUANT!A20</f>
        <v>4011410</v>
      </c>
      <c r="D20" s="222" t="str">
        <f>QUANT!B20</f>
        <v>MICRORRESVESTIMENTO A FRIO COM EMULSÃO MODIFICADA</v>
      </c>
      <c r="E20" s="57" t="str">
        <f>QUANT!C20</f>
        <v>M²</v>
      </c>
      <c r="F20" s="120">
        <f>QUANT!D20</f>
        <v>42450</v>
      </c>
      <c r="G20" s="292">
        <v>664</v>
      </c>
      <c r="H20" s="184">
        <f t="shared" si="2"/>
        <v>0.35</v>
      </c>
      <c r="J20" s="173"/>
      <c r="M20" s="528"/>
      <c r="N20" s="528"/>
      <c r="O20" s="528"/>
      <c r="P20" s="528"/>
      <c r="Q20" s="528"/>
      <c r="R20" s="528"/>
      <c r="S20" s="528"/>
      <c r="T20" s="528"/>
    </row>
    <row r="21" spans="2:20" ht="18" x14ac:dyDescent="0.25">
      <c r="B21" s="156"/>
      <c r="C21" s="155"/>
      <c r="D21" s="156"/>
      <c r="E21" s="185"/>
      <c r="F21" s="186"/>
      <c r="G21" s="353" t="str">
        <f>CONCATENATE("Total de ",D11,":")</f>
        <v>Total de Equipes de Frente de Serviço para Pavimentação:</v>
      </c>
      <c r="H21" s="52">
        <f>SUM(H12:H19)</f>
        <v>1.33</v>
      </c>
      <c r="J21" s="173"/>
      <c r="M21" s="528"/>
      <c r="N21" s="528"/>
      <c r="O21" s="528"/>
      <c r="P21" s="528"/>
      <c r="Q21" s="528"/>
      <c r="R21" s="528"/>
      <c r="S21" s="528"/>
      <c r="T21" s="528"/>
    </row>
    <row r="22" spans="2:20" ht="18" customHeight="1" x14ac:dyDescent="0.25">
      <c r="B22" s="346"/>
      <c r="D22" s="224" t="s">
        <v>4</v>
      </c>
      <c r="H22" s="347"/>
      <c r="J22" s="173"/>
      <c r="M22" s="528"/>
      <c r="N22" s="528"/>
      <c r="O22" s="528"/>
      <c r="P22" s="528"/>
      <c r="Q22" s="528"/>
      <c r="R22" s="528"/>
      <c r="S22" s="528"/>
      <c r="T22" s="528"/>
    </row>
    <row r="23" spans="2:20" ht="18" customHeight="1" x14ac:dyDescent="0.25">
      <c r="B23" s="532" t="s">
        <v>596</v>
      </c>
      <c r="C23" s="533"/>
      <c r="D23" s="533"/>
      <c r="E23" s="533"/>
      <c r="F23" s="533"/>
      <c r="G23" s="533"/>
      <c r="H23" s="534"/>
      <c r="J23" s="173"/>
      <c r="M23" s="528"/>
      <c r="N23" s="528"/>
      <c r="O23" s="528"/>
      <c r="P23" s="528"/>
      <c r="Q23" s="528"/>
      <c r="R23" s="528"/>
      <c r="S23" s="528"/>
      <c r="T23" s="528"/>
    </row>
    <row r="24" spans="2:20" ht="18" customHeight="1" x14ac:dyDescent="0.25">
      <c r="B24" s="145" t="s">
        <v>1</v>
      </c>
      <c r="C24" s="145"/>
      <c r="D24" s="145" t="s">
        <v>9</v>
      </c>
      <c r="E24" s="145" t="s">
        <v>2</v>
      </c>
      <c r="F24" s="179" t="s">
        <v>3</v>
      </c>
      <c r="G24" s="145" t="s">
        <v>338</v>
      </c>
      <c r="H24" s="145" t="s">
        <v>337</v>
      </c>
      <c r="J24" s="173"/>
      <c r="M24" s="528"/>
      <c r="N24" s="528"/>
      <c r="O24" s="528"/>
      <c r="P24" s="528"/>
      <c r="Q24" s="528"/>
      <c r="R24" s="528"/>
      <c r="S24" s="528"/>
      <c r="T24" s="528"/>
    </row>
    <row r="25" spans="2:20" ht="18" customHeight="1" x14ac:dyDescent="0.25">
      <c r="B25" s="145">
        <v>3</v>
      </c>
      <c r="C25" s="145"/>
      <c r="D25" s="180" t="s">
        <v>46</v>
      </c>
      <c r="E25" s="145"/>
      <c r="F25" s="181"/>
      <c r="G25" s="145"/>
      <c r="H25" s="181" t="s">
        <v>4</v>
      </c>
      <c r="J25" s="173"/>
      <c r="M25" s="528"/>
      <c r="N25" s="528"/>
      <c r="O25" s="528"/>
      <c r="P25" s="528"/>
      <c r="Q25" s="528"/>
      <c r="R25" s="528"/>
      <c r="S25" s="528"/>
      <c r="T25" s="528"/>
    </row>
    <row r="26" spans="2:20" ht="18" customHeight="1" x14ac:dyDescent="0.25">
      <c r="B26" s="155" t="s">
        <v>133</v>
      </c>
      <c r="C26" s="57" t="str">
        <f>QUANT!A30</f>
        <v>2003319</v>
      </c>
      <c r="D26" s="222" t="str">
        <f>QUANT!B30</f>
        <v>MEIO-FIO DE CONCRETO - MFC 05 - AREIA E BRITA COMERCIAIS - FÔRMA DE MADEIRA</v>
      </c>
      <c r="E26" s="57" t="str">
        <f>QUANT!C30</f>
        <v>M</v>
      </c>
      <c r="F26" s="120">
        <f>QUANT!D30</f>
        <v>2107</v>
      </c>
      <c r="G26" s="403">
        <v>2.1000000000000001E-4</v>
      </c>
      <c r="H26" s="184">
        <f t="shared" ref="H26" si="3">ROUND(F26*G26,2)</f>
        <v>0.44</v>
      </c>
      <c r="J26" s="173"/>
      <c r="M26" s="528"/>
      <c r="N26" s="528"/>
      <c r="O26" s="528"/>
      <c r="P26" s="528"/>
      <c r="Q26" s="528"/>
      <c r="R26" s="528"/>
      <c r="S26" s="528"/>
      <c r="T26" s="528"/>
    </row>
    <row r="27" spans="2:20" ht="30" customHeight="1" x14ac:dyDescent="0.25">
      <c r="B27" s="155" t="s">
        <v>44</v>
      </c>
      <c r="C27" s="57" t="str">
        <f>QUANT!A31</f>
        <v>2003620</v>
      </c>
      <c r="D27" s="438" t="str">
        <f>QUANT!B31</f>
        <v>SARJETA TRIANGULAR DE CONCRETO - STC 01 - ESCAVAÇÃO MECÂNICA - AREIA E BRITA COMERCIAIS</v>
      </c>
      <c r="E27" s="57" t="str">
        <f>QUANT!C31</f>
        <v>M</v>
      </c>
      <c r="F27" s="120">
        <f>QUANT!D31</f>
        <v>4348</v>
      </c>
      <c r="G27" s="403">
        <v>1.9000000000000001E-4</v>
      </c>
      <c r="H27" s="184">
        <f t="shared" ref="H27" si="4">ROUND(F27*G27,2)</f>
        <v>0.83</v>
      </c>
      <c r="J27" s="173"/>
      <c r="M27" s="528"/>
      <c r="N27" s="528"/>
      <c r="O27" s="528"/>
      <c r="P27" s="528"/>
      <c r="Q27" s="528"/>
      <c r="R27" s="528"/>
      <c r="S27" s="528"/>
      <c r="T27" s="528"/>
    </row>
    <row r="28" spans="2:20" ht="18" customHeight="1" x14ac:dyDescent="0.25">
      <c r="B28" s="156"/>
      <c r="C28" s="387"/>
      <c r="D28" s="387"/>
      <c r="E28" s="388"/>
      <c r="F28" s="389"/>
      <c r="G28" s="353" t="str">
        <f>CONCATENATE("Total de ",D25,":")</f>
        <v>Total de Equipes de Frente de Serviço para Drenagem :</v>
      </c>
      <c r="H28" s="52">
        <f>SUM(H26:H27)</f>
        <v>1.27</v>
      </c>
      <c r="J28" s="173"/>
      <c r="M28" s="528"/>
      <c r="N28" s="528"/>
      <c r="O28" s="528"/>
      <c r="P28" s="528"/>
      <c r="Q28" s="528"/>
      <c r="R28" s="528"/>
      <c r="S28" s="528"/>
      <c r="T28" s="528"/>
    </row>
    <row r="29" spans="2:20" ht="18" customHeight="1" x14ac:dyDescent="0.25">
      <c r="B29" s="532"/>
      <c r="C29" s="533"/>
      <c r="D29" s="533"/>
      <c r="E29" s="533"/>
      <c r="F29" s="533"/>
      <c r="G29" s="533"/>
      <c r="H29" s="534"/>
      <c r="J29" s="173"/>
      <c r="M29" s="528"/>
      <c r="N29" s="528"/>
      <c r="O29" s="528"/>
      <c r="P29" s="528"/>
      <c r="Q29" s="528"/>
      <c r="R29" s="528"/>
      <c r="S29" s="528"/>
      <c r="T29" s="528"/>
    </row>
    <row r="30" spans="2:20" ht="18" customHeight="1" x14ac:dyDescent="0.25">
      <c r="B30" s="532" t="s">
        <v>597</v>
      </c>
      <c r="C30" s="533"/>
      <c r="D30" s="533"/>
      <c r="E30" s="533"/>
      <c r="F30" s="533"/>
      <c r="G30" s="533"/>
      <c r="H30" s="534"/>
      <c r="J30" s="173"/>
      <c r="M30" s="528"/>
      <c r="N30" s="528"/>
      <c r="O30" s="528"/>
      <c r="P30" s="528"/>
      <c r="Q30" s="528"/>
      <c r="R30" s="528"/>
      <c r="S30" s="528"/>
      <c r="T30" s="528"/>
    </row>
    <row r="31" spans="2:20" s="278" customFormat="1" ht="18" customHeight="1" x14ac:dyDescent="0.25">
      <c r="B31" s="145" t="s">
        <v>1</v>
      </c>
      <c r="C31" s="145"/>
      <c r="D31" s="145" t="s">
        <v>9</v>
      </c>
      <c r="E31" s="145" t="s">
        <v>2</v>
      </c>
      <c r="F31" s="179" t="s">
        <v>3</v>
      </c>
      <c r="G31" s="145" t="s">
        <v>338</v>
      </c>
      <c r="H31" s="145" t="s">
        <v>337</v>
      </c>
      <c r="J31" s="279"/>
      <c r="M31" s="528"/>
      <c r="N31" s="528"/>
      <c r="O31" s="528"/>
      <c r="P31" s="528"/>
      <c r="Q31" s="528"/>
      <c r="R31" s="528"/>
      <c r="S31" s="528"/>
      <c r="T31" s="528"/>
    </row>
    <row r="32" spans="2:20" ht="18" customHeight="1" x14ac:dyDescent="0.2">
      <c r="B32" s="145">
        <v>4</v>
      </c>
      <c r="C32" s="145"/>
      <c r="D32" s="180" t="s">
        <v>47</v>
      </c>
      <c r="E32" s="145"/>
      <c r="F32" s="181"/>
      <c r="G32" s="145"/>
      <c r="H32" s="181" t="s">
        <v>4</v>
      </c>
      <c r="I32" s="54"/>
    </row>
    <row r="33" spans="2:14" ht="18" customHeight="1" x14ac:dyDescent="0.2">
      <c r="B33" s="57" t="s">
        <v>137</v>
      </c>
      <c r="C33" s="155" t="str">
        <f>QUANT!A34</f>
        <v>0804015</v>
      </c>
      <c r="D33" s="211" t="str">
        <f>QUANT!B34</f>
        <v>BOCA DE BSTC D = 0,40 M - ESCONSIDADE 0° - AREIA E BRITA COMERCIAIS - ALAS RETAS</v>
      </c>
      <c r="E33" s="155" t="str">
        <f>QUANT!C34</f>
        <v>UN</v>
      </c>
      <c r="F33" s="399">
        <f>QUANT!D34</f>
        <v>3</v>
      </c>
      <c r="G33" s="403">
        <v>2.8300000000000001E-3</v>
      </c>
      <c r="H33" s="184">
        <f t="shared" ref="H33:H34" si="5">ROUND(F33*G33,2)</f>
        <v>0.01</v>
      </c>
    </row>
    <row r="34" spans="2:14" s="126" customFormat="1" ht="18" customHeight="1" x14ac:dyDescent="0.2">
      <c r="B34" s="57" t="s">
        <v>138</v>
      </c>
      <c r="C34" s="155" t="str">
        <f>QUANT!A35</f>
        <v>2003441</v>
      </c>
      <c r="D34" s="211" t="str">
        <f>QUANT!B35</f>
        <v>CORPO DE BSTC D = 0,40 M PA2 - AREIA, BRITA E PEDRA DE MÃO COMERCIAIS</v>
      </c>
      <c r="E34" s="155" t="str">
        <f>QUANT!C35</f>
        <v>M</v>
      </c>
      <c r="F34" s="399">
        <f>QUANT!D35</f>
        <v>411</v>
      </c>
      <c r="G34" s="403">
        <v>7.2999999999999996E-4</v>
      </c>
      <c r="H34" s="184">
        <f t="shared" si="5"/>
        <v>0.3</v>
      </c>
    </row>
    <row r="35" spans="2:14" s="126" customFormat="1" ht="18" customHeight="1" x14ac:dyDescent="0.2">
      <c r="B35" s="156"/>
      <c r="C35" s="155"/>
      <c r="D35" s="156"/>
      <c r="E35" s="185"/>
      <c r="F35" s="186"/>
      <c r="G35" s="353" t="str">
        <f>CONCATENATE("Total de ",D32,":")</f>
        <v>Total de Equipes de Frente de Serviço para Obra de Artes Correntes:</v>
      </c>
      <c r="H35" s="52">
        <f>SUM(H33:H34)</f>
        <v>0.31</v>
      </c>
      <c r="I35" s="126">
        <v>550</v>
      </c>
    </row>
    <row r="36" spans="2:14" s="126" customFormat="1" ht="18" customHeight="1" x14ac:dyDescent="0.2">
      <c r="B36" s="532"/>
      <c r="C36" s="533"/>
      <c r="D36" s="533"/>
      <c r="E36" s="533"/>
      <c r="F36" s="533"/>
      <c r="G36" s="533"/>
      <c r="H36" s="534"/>
    </row>
    <row r="37" spans="2:14" s="126" customFormat="1" ht="18" customHeight="1" x14ac:dyDescent="0.2">
      <c r="B37" s="532" t="s">
        <v>598</v>
      </c>
      <c r="C37" s="533"/>
      <c r="D37" s="533"/>
      <c r="E37" s="533"/>
      <c r="F37" s="533"/>
      <c r="G37" s="533"/>
      <c r="H37" s="534"/>
      <c r="M37" s="126" t="s">
        <v>69</v>
      </c>
      <c r="N37" s="126">
        <v>2.1000000000000001E-4</v>
      </c>
    </row>
    <row r="38" spans="2:14" s="126" customFormat="1" ht="30" customHeight="1" x14ac:dyDescent="0.2">
      <c r="B38" s="145" t="s">
        <v>1</v>
      </c>
      <c r="C38" s="145"/>
      <c r="D38" s="145" t="s">
        <v>9</v>
      </c>
      <c r="E38" s="145" t="s">
        <v>2</v>
      </c>
      <c r="F38" s="179" t="s">
        <v>3</v>
      </c>
      <c r="G38" s="79" t="s">
        <v>42</v>
      </c>
      <c r="H38" s="145" t="s">
        <v>337</v>
      </c>
      <c r="M38" s="126" t="s">
        <v>69</v>
      </c>
      <c r="N38" s="126">
        <v>2.1000000000000001E-4</v>
      </c>
    </row>
    <row r="39" spans="2:14" s="126" customFormat="1" ht="18" customHeight="1" x14ac:dyDescent="0.2">
      <c r="B39" s="145">
        <v>5</v>
      </c>
      <c r="C39" s="145"/>
      <c r="D39" s="180" t="s">
        <v>49</v>
      </c>
      <c r="E39" s="145"/>
      <c r="F39" s="181" t="s">
        <v>4</v>
      </c>
      <c r="G39" s="145" t="s">
        <v>4</v>
      </c>
      <c r="H39" s="181" t="s">
        <v>4</v>
      </c>
      <c r="M39" s="126" t="s">
        <v>70</v>
      </c>
      <c r="N39" s="126">
        <v>1.9000000000000001E-4</v>
      </c>
    </row>
    <row r="40" spans="2:14" s="126" customFormat="1" ht="18" customHeight="1" x14ac:dyDescent="0.2">
      <c r="B40" s="57" t="s">
        <v>156</v>
      </c>
      <c r="C40" s="191" t="str">
        <f>QUANT!A46</f>
        <v>5214000</v>
      </c>
      <c r="D40" s="405" t="str">
        <f>QUANT!B46</f>
        <v>PINTURA DE FAIXA COM TERMOPLÁSTICO POR ASPERSÃO - ESPESSURA DE 1,5 MM</v>
      </c>
      <c r="E40" s="191" t="str">
        <f>QUANT!C46</f>
        <v>M²</v>
      </c>
      <c r="F40" s="144">
        <f>QUANT!D46</f>
        <v>6412.5</v>
      </c>
      <c r="G40" s="144">
        <v>95.4</v>
      </c>
      <c r="H40" s="192">
        <f>ROUND((F40/(G40*$H$1))*0.2,2)</f>
        <v>7.0000000000000007E-2</v>
      </c>
    </row>
    <row r="41" spans="2:14" s="126" customFormat="1" ht="30" customHeight="1" x14ac:dyDescent="0.2">
      <c r="B41" s="57" t="s">
        <v>157</v>
      </c>
      <c r="C41" s="191" t="str">
        <f>QUANT!A47</f>
        <v>5219608</v>
      </c>
      <c r="D41" s="405" t="str">
        <f>QUANT!B47</f>
        <v>TERMOPLÁSTICO PRÉ-FORMADO PARA SINALIZAÇÃO HORIZONTAL - ESPESSURA DE 2 MM - FORNECIMENTO E IMPLANTAÇÃO</v>
      </c>
      <c r="E41" s="191" t="str">
        <f>QUANT!C47</f>
        <v>M²</v>
      </c>
      <c r="F41" s="144">
        <f>QUANT!D47</f>
        <v>562</v>
      </c>
      <c r="G41" s="144">
        <v>12</v>
      </c>
      <c r="H41" s="192">
        <f t="shared" ref="H41:H46" si="6">ROUND((F41/(G41*$H$1))*0.2,2)</f>
        <v>0.05</v>
      </c>
      <c r="M41" s="126" t="s">
        <v>69</v>
      </c>
      <c r="N41" s="126">
        <v>2.1000000000000001E-4</v>
      </c>
    </row>
    <row r="42" spans="2:14" s="126" customFormat="1" ht="30" customHeight="1" x14ac:dyDescent="0.2">
      <c r="B42" s="57" t="s">
        <v>599</v>
      </c>
      <c r="C42" s="191" t="str">
        <f>QUANT!A48</f>
        <v>5213362</v>
      </c>
      <c r="D42" s="405" t="str">
        <f>QUANT!B48</f>
        <v>TACHA REFLETIVA EM PLÁSTICO INJETADO - BIDIRECIONAL TIPO III - COM UM PINO - FORNECIMENTO E COLOCAÇÃO</v>
      </c>
      <c r="E42" s="191" t="str">
        <f>QUANT!C48</f>
        <v>UN</v>
      </c>
      <c r="F42" s="144">
        <f>QUANT!D48</f>
        <v>1209</v>
      </c>
      <c r="G42" s="144">
        <v>36</v>
      </c>
      <c r="H42" s="192">
        <f t="shared" si="6"/>
        <v>0.04</v>
      </c>
      <c r="M42" s="126" t="s">
        <v>69</v>
      </c>
      <c r="N42" s="126">
        <v>2.1000000000000001E-4</v>
      </c>
    </row>
    <row r="43" spans="2:14" s="126" customFormat="1" ht="24.95" customHeight="1" x14ac:dyDescent="0.2">
      <c r="B43" s="57" t="s">
        <v>600</v>
      </c>
      <c r="C43" s="191" t="str">
        <f>QUANT!A49</f>
        <v>5213441</v>
      </c>
      <c r="D43" s="405" t="str">
        <f>QUANT!B49</f>
        <v>TACHÃO REFLETIVO EM PLÁSTICO INJETADO - BIDIRECIONAL - FORNECIMENTO E COLOCAÇÃO</v>
      </c>
      <c r="E43" s="191" t="str">
        <f>QUANT!C49</f>
        <v>UN</v>
      </c>
      <c r="F43" s="144">
        <f>QUANT!D49</f>
        <v>5034</v>
      </c>
      <c r="G43" s="144">
        <v>19.79</v>
      </c>
      <c r="H43" s="192">
        <f t="shared" si="6"/>
        <v>0.28000000000000003</v>
      </c>
      <c r="M43" s="126" t="s">
        <v>70</v>
      </c>
      <c r="N43" s="126">
        <v>1.9000000000000001E-4</v>
      </c>
    </row>
    <row r="44" spans="2:14" s="126" customFormat="1" ht="30" customHeight="1" x14ac:dyDescent="0.2">
      <c r="B44" s="57" t="s">
        <v>601</v>
      </c>
      <c r="C44" s="191" t="str">
        <f>QUANT!A50</f>
        <v>5213465</v>
      </c>
      <c r="D44" s="405" t="str">
        <f>QUANT!B50</f>
        <v>PLACA DE REGULAMENTAÇÃO EM AÇO D = 0,80 M - PELÍCULA RETRORREFLETIVA TIPO I + SI - FORNECIMENTO E IMPLANTAÇÃO</v>
      </c>
      <c r="E44" s="191" t="str">
        <f>QUANT!C50</f>
        <v>UN</v>
      </c>
      <c r="F44" s="144">
        <f>QUANT!D50</f>
        <v>39</v>
      </c>
      <c r="G44" s="144">
        <v>3</v>
      </c>
      <c r="H44" s="192">
        <f t="shared" si="6"/>
        <v>0.01</v>
      </c>
      <c r="M44" s="126" t="s">
        <v>71</v>
      </c>
      <c r="N44" s="126">
        <v>2.7999999999999998E-4</v>
      </c>
    </row>
    <row r="45" spans="2:14" s="126" customFormat="1" ht="30" customHeight="1" x14ac:dyDescent="0.2">
      <c r="B45" s="57" t="s">
        <v>602</v>
      </c>
      <c r="C45" s="191" t="str">
        <f>QUANT!A51</f>
        <v>5213864</v>
      </c>
      <c r="D45" s="405" t="str">
        <f>QUANT!B51</f>
        <v>PLACA DE ADVERTÊNCIA EM AÇO, LADO DE 0,80 M - PELÍCULA RETRORREFLETIVA TIPO I + SI - FORNECIMENTO E IMPLANTAÇÃO</v>
      </c>
      <c r="E45" s="191" t="str">
        <f>QUANT!C51</f>
        <v>UN</v>
      </c>
      <c r="F45" s="144">
        <f>QUANT!D51</f>
        <v>108</v>
      </c>
      <c r="G45" s="144">
        <v>3</v>
      </c>
      <c r="H45" s="192">
        <f t="shared" si="6"/>
        <v>0.04</v>
      </c>
      <c r="M45" s="126" t="s">
        <v>69</v>
      </c>
      <c r="N45" s="126">
        <v>2.1000000000000001E-4</v>
      </c>
    </row>
    <row r="46" spans="2:14" s="126" customFormat="1" ht="30" customHeight="1" x14ac:dyDescent="0.2">
      <c r="B46" s="57" t="s">
        <v>603</v>
      </c>
      <c r="C46" s="191" t="str">
        <f>QUANT!A52</f>
        <v>5213472</v>
      </c>
      <c r="D46" s="405" t="str">
        <f>QUANT!B52</f>
        <v>SUPORTE METÁLICO GALVANIZADO PARA PLACA DE ADVERTÊNCIA OU REGULAMENTAÇÃO - LADO OU DIÂMETRO DE 0,80 M - FORNECIMENTO E IMPLANTAÇÃO</v>
      </c>
      <c r="E46" s="191" t="str">
        <f>QUANT!C52</f>
        <v>UN</v>
      </c>
      <c r="F46" s="144">
        <f>QUANT!D52</f>
        <v>147</v>
      </c>
      <c r="G46" s="144">
        <v>3.9</v>
      </c>
      <c r="H46" s="192">
        <f t="shared" si="6"/>
        <v>0.04</v>
      </c>
      <c r="M46" s="126" t="s">
        <v>69</v>
      </c>
      <c r="N46" s="126">
        <v>2.1000000000000001E-4</v>
      </c>
    </row>
    <row r="47" spans="2:14" s="126" customFormat="1" ht="30" customHeight="1" x14ac:dyDescent="0.2">
      <c r="B47" s="57" t="s">
        <v>732</v>
      </c>
      <c r="C47" s="191" t="str">
        <f>QUANT!A53</f>
        <v>5213472</v>
      </c>
      <c r="D47" s="405" t="str">
        <f>QUANT!B53</f>
        <v>PLACA DE MARCO QUILOMÉTRICO EM AÇO - 0,60 X 0,865 M - PELÍCULA RETRORREFLETIVA TIPO I + I - FORNECIMENTO E IMPLANTAÇÃO</v>
      </c>
      <c r="E47" s="191" t="str">
        <f>QUANT!C53</f>
        <v>UN</v>
      </c>
      <c r="F47" s="144">
        <f>QUANT!D53</f>
        <v>19</v>
      </c>
      <c r="G47" s="144">
        <v>3</v>
      </c>
      <c r="H47" s="192">
        <f t="shared" ref="H47:H49" si="7">ROUND((F47/(G47*$H$1))*0.2,2)</f>
        <v>0.01</v>
      </c>
      <c r="M47" s="126" t="s">
        <v>69</v>
      </c>
      <c r="N47" s="126">
        <v>2.1000000000000001E-4</v>
      </c>
    </row>
    <row r="48" spans="2:14" s="126" customFormat="1" ht="30" customHeight="1" x14ac:dyDescent="0.2">
      <c r="B48" s="57" t="s">
        <v>733</v>
      </c>
      <c r="C48" s="191" t="str">
        <f>QUANT!A54</f>
        <v>5213364</v>
      </c>
      <c r="D48" s="405" t="str">
        <f>QUANT!B54</f>
        <v>PLACA DE MARCO QUILOMÉTRICO EM AÇO - 0,60 X 0,865 M - PELÍCULA RETRORREFLETIVA TIPO I + I - FORNECIMENTO E IMPLANTAÇÃO</v>
      </c>
      <c r="E48" s="191" t="str">
        <f>QUANT!C54</f>
        <v>UN</v>
      </c>
      <c r="F48" s="144">
        <f>QUANT!D54</f>
        <v>19</v>
      </c>
      <c r="G48" s="144">
        <v>3</v>
      </c>
      <c r="H48" s="192">
        <f t="shared" si="7"/>
        <v>0.01</v>
      </c>
      <c r="M48" s="126" t="s">
        <v>70</v>
      </c>
      <c r="N48" s="126">
        <v>1.9000000000000001E-4</v>
      </c>
    </row>
    <row r="49" spans="2:14" s="126" customFormat="1" ht="18" customHeight="1" x14ac:dyDescent="0.2">
      <c r="B49" s="57" t="s">
        <v>734</v>
      </c>
      <c r="C49" s="191" t="str">
        <f>QUANT!A55</f>
        <v>5213441</v>
      </c>
      <c r="D49" s="405" t="str">
        <f>QUANT!B55</f>
        <v>REMOÇÃO DE PLACA DE SINALIZAÇÃO</v>
      </c>
      <c r="E49" s="191" t="str">
        <f>QUANT!C55</f>
        <v>M²</v>
      </c>
      <c r="F49" s="144">
        <f>QUANT!D55</f>
        <v>82</v>
      </c>
      <c r="G49" s="144">
        <v>10.56</v>
      </c>
      <c r="H49" s="192">
        <f t="shared" si="7"/>
        <v>0.01</v>
      </c>
      <c r="M49" s="126" t="s">
        <v>71</v>
      </c>
      <c r="N49" s="126">
        <v>2.7999999999999998E-4</v>
      </c>
    </row>
    <row r="50" spans="2:14" s="126" customFormat="1" ht="18" customHeight="1" x14ac:dyDescent="0.2">
      <c r="B50" s="193"/>
      <c r="C50" s="209"/>
      <c r="D50" s="427"/>
      <c r="E50" s="226"/>
      <c r="F50" s="186"/>
      <c r="G50" s="227" t="str">
        <f>CONCATENATE("Total de ",D39,":")</f>
        <v>Total de Equipes de Frente de Serviço para Sinalização:</v>
      </c>
      <c r="H50" s="52">
        <f>SUM(H40:H49)</f>
        <v>0.56000000000000005</v>
      </c>
      <c r="M50" s="126" t="s">
        <v>70</v>
      </c>
      <c r="N50" s="126">
        <v>1.9000000000000001E-4</v>
      </c>
    </row>
    <row r="51" spans="2:14" s="126" customFormat="1" ht="18" customHeight="1" x14ac:dyDescent="0.2">
      <c r="B51" s="411"/>
      <c r="C51" s="412"/>
      <c r="D51" s="413"/>
      <c r="E51" s="412"/>
      <c r="F51" s="414"/>
      <c r="G51" s="415"/>
      <c r="H51" s="416"/>
      <c r="M51" s="126" t="s">
        <v>70</v>
      </c>
      <c r="N51" s="126">
        <v>1.9000000000000001E-4</v>
      </c>
    </row>
    <row r="52" spans="2:14" s="126" customFormat="1" ht="18" customHeight="1" x14ac:dyDescent="0.25">
      <c r="B52" s="156"/>
      <c r="C52" s="158"/>
      <c r="D52" s="158"/>
      <c r="E52" s="185"/>
      <c r="F52" s="186"/>
      <c r="G52" s="352" t="s">
        <v>92</v>
      </c>
      <c r="H52" s="172">
        <f>ROUND(H50+H35+H28+H21,0)</f>
        <v>3</v>
      </c>
      <c r="M52" s="127"/>
      <c r="N52" s="127"/>
    </row>
    <row r="53" spans="2:14" s="126" customFormat="1" ht="18" customHeight="1" x14ac:dyDescent="0.2">
      <c r="B53" s="346"/>
      <c r="C53" s="225"/>
      <c r="D53" s="224"/>
      <c r="E53" s="224"/>
      <c r="F53" s="224"/>
      <c r="G53" s="224"/>
      <c r="H53" s="347"/>
      <c r="M53" s="127"/>
      <c r="N53" s="127"/>
    </row>
    <row r="54" spans="2:14" s="126" customFormat="1" ht="18" customHeight="1" x14ac:dyDescent="0.2">
      <c r="B54" s="497" t="s">
        <v>350</v>
      </c>
      <c r="C54" s="498"/>
      <c r="D54" s="498"/>
      <c r="E54" s="498"/>
      <c r="F54" s="498"/>
      <c r="G54" s="498"/>
      <c r="H54" s="143">
        <f>ROUNDUP((H52*F5/3)+(H52*F6/3),0)</f>
        <v>1</v>
      </c>
      <c r="M54" s="127"/>
      <c r="N54" s="127"/>
    </row>
    <row r="55" spans="2:14" s="126" customFormat="1" ht="18" customHeight="1" x14ac:dyDescent="0.2">
      <c r="B55" s="224"/>
      <c r="C55" s="225"/>
      <c r="D55" s="224"/>
      <c r="E55" s="224"/>
      <c r="F55" s="224"/>
      <c r="G55" s="224"/>
      <c r="H55" s="294"/>
      <c r="M55" s="127"/>
      <c r="N55" s="127"/>
    </row>
    <row r="56" spans="2:14" s="126" customFormat="1" ht="18" customHeight="1" x14ac:dyDescent="0.2">
      <c r="B56" s="224"/>
      <c r="C56" s="225"/>
      <c r="D56" s="224"/>
      <c r="E56" s="224"/>
      <c r="F56" s="224"/>
      <c r="G56" s="224"/>
      <c r="H56" s="224"/>
      <c r="M56" s="127"/>
      <c r="N56" s="127"/>
    </row>
    <row r="57" spans="2:14" s="126" customFormat="1" ht="18" customHeight="1" x14ac:dyDescent="0.2">
      <c r="B57" s="224"/>
      <c r="C57" s="225"/>
      <c r="D57" s="224"/>
      <c r="E57" s="224"/>
      <c r="F57" s="224"/>
      <c r="G57" s="224"/>
      <c r="H57" s="224"/>
      <c r="M57" s="127"/>
      <c r="N57" s="127"/>
    </row>
    <row r="58" spans="2:14" s="126" customFormat="1" ht="18" customHeight="1" x14ac:dyDescent="0.2">
      <c r="B58" s="224"/>
      <c r="C58" s="225"/>
      <c r="D58" s="224"/>
      <c r="E58" s="224"/>
      <c r="F58" s="224"/>
      <c r="G58" s="224"/>
      <c r="H58" s="224"/>
      <c r="M58" s="127"/>
      <c r="N58" s="127"/>
    </row>
    <row r="59" spans="2:14" s="126" customFormat="1" ht="18" customHeight="1" x14ac:dyDescent="0.2">
      <c r="B59" s="224"/>
      <c r="C59" s="225"/>
      <c r="D59" s="224"/>
      <c r="E59" s="224"/>
      <c r="F59" s="224"/>
      <c r="G59" s="224"/>
      <c r="H59" s="224"/>
      <c r="M59" s="127"/>
      <c r="N59" s="127"/>
    </row>
    <row r="60" spans="2:14" s="126" customFormat="1" ht="45" customHeight="1" x14ac:dyDescent="0.2">
      <c r="B60" s="224"/>
      <c r="C60" s="225"/>
      <c r="D60" s="224"/>
      <c r="E60" s="224"/>
      <c r="F60" s="224"/>
      <c r="G60" s="224"/>
      <c r="H60" s="224"/>
      <c r="M60" s="127"/>
      <c r="N60" s="127"/>
    </row>
    <row r="61" spans="2:14" s="126" customFormat="1" ht="18" customHeight="1" x14ac:dyDescent="0.2">
      <c r="B61" s="224"/>
      <c r="C61" s="225"/>
      <c r="D61" s="224"/>
      <c r="E61" s="224"/>
      <c r="F61" s="224"/>
      <c r="G61" s="224"/>
      <c r="H61" s="224"/>
      <c r="M61" s="127"/>
      <c r="N61" s="127"/>
    </row>
    <row r="62" spans="2:14" s="126" customFormat="1" ht="18" hidden="1" customHeight="1" x14ac:dyDescent="0.2">
      <c r="B62" s="224"/>
      <c r="C62" s="225"/>
      <c r="D62" s="224"/>
      <c r="E62" s="224"/>
      <c r="F62" s="224"/>
      <c r="G62" s="224"/>
      <c r="H62" s="224"/>
      <c r="M62" s="127"/>
      <c r="N62" s="127"/>
    </row>
    <row r="63" spans="2:14" s="126" customFormat="1" ht="30" customHeight="1" x14ac:dyDescent="0.2">
      <c r="B63" s="224"/>
      <c r="C63" s="225"/>
      <c r="D63" s="224"/>
      <c r="E63" s="224"/>
      <c r="F63" s="224"/>
      <c r="G63" s="224"/>
      <c r="H63" s="224"/>
      <c r="M63" s="127"/>
      <c r="N63" s="127"/>
    </row>
    <row r="64" spans="2:14" s="126" customFormat="1" ht="18" customHeight="1" x14ac:dyDescent="0.2">
      <c r="B64" s="224"/>
      <c r="C64" s="225"/>
      <c r="D64" s="224"/>
      <c r="E64" s="224"/>
      <c r="F64" s="224"/>
      <c r="G64" s="224"/>
      <c r="H64" s="224"/>
      <c r="M64" s="127"/>
      <c r="N64" s="127"/>
    </row>
    <row r="65" spans="2:14" s="126" customFormat="1" ht="30" customHeight="1" x14ac:dyDescent="0.2">
      <c r="B65" s="224"/>
      <c r="C65" s="225"/>
      <c r="D65" s="224"/>
      <c r="E65" s="224"/>
      <c r="F65" s="224"/>
      <c r="G65" s="224"/>
      <c r="H65" s="224"/>
      <c r="M65" s="127"/>
      <c r="N65" s="127"/>
    </row>
    <row r="66" spans="2:14" s="126" customFormat="1" ht="18" customHeight="1" x14ac:dyDescent="0.2">
      <c r="B66" s="224"/>
      <c r="C66" s="225"/>
      <c r="D66" s="224"/>
      <c r="E66" s="224"/>
      <c r="F66" s="224"/>
      <c r="G66" s="224"/>
      <c r="H66" s="224"/>
      <c r="M66" s="127"/>
      <c r="N66" s="127"/>
    </row>
    <row r="67" spans="2:14" s="390" customFormat="1" ht="18" customHeight="1" x14ac:dyDescent="0.2">
      <c r="B67" s="224"/>
      <c r="C67" s="225"/>
      <c r="D67" s="224"/>
      <c r="E67" s="224"/>
      <c r="F67" s="224"/>
      <c r="G67" s="224"/>
      <c r="H67" s="224"/>
      <c r="M67" s="391"/>
      <c r="N67" s="391"/>
    </row>
    <row r="68" spans="2:14" s="390" customFormat="1" ht="30" customHeight="1" x14ac:dyDescent="0.2">
      <c r="B68" s="224"/>
      <c r="C68" s="225"/>
      <c r="D68" s="224"/>
      <c r="E68" s="224"/>
      <c r="F68" s="224"/>
      <c r="G68" s="224"/>
      <c r="H68" s="224"/>
      <c r="M68" s="391"/>
      <c r="N68" s="391"/>
    </row>
    <row r="69" spans="2:14" s="390" customFormat="1" ht="30" customHeight="1" x14ac:dyDescent="0.2">
      <c r="B69" s="224"/>
      <c r="C69" s="225"/>
      <c r="D69" s="224"/>
      <c r="E69" s="224"/>
      <c r="F69" s="224"/>
      <c r="G69" s="224"/>
      <c r="H69" s="224"/>
      <c r="M69" s="391"/>
      <c r="N69" s="391"/>
    </row>
    <row r="70" spans="2:14" s="126" customFormat="1" ht="18" customHeight="1" x14ac:dyDescent="0.2">
      <c r="B70" s="224"/>
      <c r="C70" s="225"/>
      <c r="D70" s="224"/>
      <c r="E70" s="224"/>
      <c r="F70" s="224"/>
      <c r="G70" s="224"/>
      <c r="H70" s="224"/>
      <c r="M70" s="127"/>
      <c r="N70" s="127"/>
    </row>
    <row r="71" spans="2:14" s="126" customFormat="1" ht="18" customHeight="1" x14ac:dyDescent="0.2">
      <c r="B71" s="224"/>
      <c r="C71" s="225"/>
      <c r="D71" s="224"/>
      <c r="E71" s="224"/>
      <c r="F71" s="224"/>
      <c r="G71" s="224"/>
      <c r="H71" s="224"/>
      <c r="M71" s="127"/>
      <c r="N71" s="127"/>
    </row>
    <row r="72" spans="2:14" s="126" customFormat="1" ht="18" customHeight="1" x14ac:dyDescent="0.2">
      <c r="B72" s="224"/>
      <c r="C72" s="225"/>
      <c r="D72" s="224"/>
      <c r="E72" s="224"/>
      <c r="F72" s="224"/>
      <c r="G72" s="224"/>
      <c r="H72" s="224"/>
      <c r="M72" s="127"/>
      <c r="N72" s="127"/>
    </row>
    <row r="73" spans="2:14" s="126" customFormat="1" ht="18" customHeight="1" x14ac:dyDescent="0.2">
      <c r="B73" s="224"/>
      <c r="C73" s="225"/>
      <c r="D73" s="224"/>
      <c r="E73" s="224"/>
      <c r="F73" s="224"/>
      <c r="G73" s="224"/>
      <c r="H73" s="224"/>
      <c r="M73" s="127"/>
      <c r="N73" s="127"/>
    </row>
    <row r="74" spans="2:14" s="126" customFormat="1" ht="45" customHeight="1" x14ac:dyDescent="0.2">
      <c r="B74" s="224"/>
      <c r="C74" s="225"/>
      <c r="D74" s="224"/>
      <c r="E74" s="224"/>
      <c r="F74" s="224"/>
      <c r="G74" s="224"/>
      <c r="H74" s="224"/>
      <c r="M74" s="127"/>
      <c r="N74" s="127"/>
    </row>
    <row r="75" spans="2:14" s="126" customFormat="1" ht="18" customHeight="1" x14ac:dyDescent="0.2">
      <c r="B75" s="224"/>
      <c r="C75" s="225"/>
      <c r="D75" s="224"/>
      <c r="E75" s="224"/>
      <c r="F75" s="224"/>
      <c r="G75" s="224"/>
      <c r="H75" s="224"/>
      <c r="M75" s="127"/>
      <c r="N75" s="127"/>
    </row>
    <row r="76" spans="2:14" s="126" customFormat="1" ht="18" customHeight="1" x14ac:dyDescent="0.2">
      <c r="B76" s="224"/>
      <c r="C76" s="225"/>
      <c r="D76" s="224"/>
      <c r="E76" s="224"/>
      <c r="F76" s="224"/>
      <c r="G76" s="224"/>
      <c r="H76" s="224"/>
      <c r="M76" s="127"/>
      <c r="N76" s="127"/>
    </row>
    <row r="77" spans="2:14" s="126" customFormat="1" ht="18" customHeight="1" x14ac:dyDescent="0.2">
      <c r="B77" s="224"/>
      <c r="C77" s="225"/>
      <c r="D77" s="224"/>
      <c r="E77" s="224"/>
      <c r="F77" s="224"/>
      <c r="G77" s="224"/>
      <c r="H77" s="224"/>
      <c r="M77" s="127"/>
      <c r="N77" s="127"/>
    </row>
    <row r="78" spans="2:14" s="126" customFormat="1" ht="18" customHeight="1" x14ac:dyDescent="0.2">
      <c r="B78" s="224"/>
      <c r="C78" s="225"/>
      <c r="D78" s="224"/>
      <c r="E78" s="224"/>
      <c r="F78" s="224"/>
      <c r="G78" s="224"/>
      <c r="H78" s="224"/>
      <c r="M78" s="127"/>
      <c r="N78" s="127"/>
    </row>
    <row r="79" spans="2:14" s="126" customFormat="1" ht="18" customHeight="1" x14ac:dyDescent="0.2">
      <c r="B79" s="224"/>
      <c r="C79" s="225"/>
      <c r="D79" s="224"/>
      <c r="E79" s="224"/>
      <c r="F79" s="224"/>
      <c r="G79" s="224"/>
      <c r="H79" s="224"/>
      <c r="M79" s="127"/>
      <c r="N79" s="127"/>
    </row>
    <row r="80" spans="2:14" s="126" customFormat="1" ht="18" customHeight="1" x14ac:dyDescent="0.2">
      <c r="B80" s="224"/>
      <c r="C80" s="225"/>
      <c r="D80" s="224"/>
      <c r="E80" s="224"/>
      <c r="F80" s="224"/>
      <c r="G80" s="224"/>
      <c r="H80" s="224"/>
      <c r="M80" s="127"/>
      <c r="N80" s="127"/>
    </row>
    <row r="81" spans="2:20" s="126" customFormat="1" ht="18" customHeight="1" x14ac:dyDescent="0.2">
      <c r="B81" s="224"/>
      <c r="C81" s="225"/>
      <c r="D81" s="224"/>
      <c r="E81" s="224"/>
      <c r="F81" s="224"/>
      <c r="G81" s="224"/>
      <c r="H81" s="224"/>
      <c r="M81" s="127"/>
      <c r="N81" s="127"/>
    </row>
    <row r="82" spans="2:20" s="126" customFormat="1" ht="18" customHeight="1" x14ac:dyDescent="0.2">
      <c r="B82" s="224"/>
      <c r="C82" s="225"/>
      <c r="D82" s="224"/>
      <c r="E82" s="224"/>
      <c r="F82" s="224"/>
      <c r="G82" s="224"/>
      <c r="H82" s="224"/>
      <c r="M82" s="127"/>
      <c r="N82" s="127"/>
    </row>
    <row r="83" spans="2:20" s="126" customFormat="1" ht="18" customHeight="1" x14ac:dyDescent="0.2">
      <c r="B83" s="224"/>
      <c r="C83" s="225"/>
      <c r="D83" s="224"/>
      <c r="E83" s="224"/>
      <c r="F83" s="224"/>
      <c r="G83" s="224"/>
      <c r="H83" s="224"/>
      <c r="M83" s="127"/>
      <c r="N83" s="127"/>
    </row>
    <row r="84" spans="2:20" s="126" customFormat="1" ht="18" customHeight="1" x14ac:dyDescent="0.2">
      <c r="B84" s="224"/>
      <c r="C84" s="225"/>
      <c r="D84" s="224"/>
      <c r="E84" s="224"/>
      <c r="F84" s="224"/>
      <c r="G84" s="224"/>
      <c r="H84" s="224"/>
      <c r="M84" s="127"/>
      <c r="N84" s="127"/>
    </row>
    <row r="85" spans="2:20" s="126" customFormat="1" ht="19.899999999999999" customHeight="1" x14ac:dyDescent="0.2">
      <c r="B85" s="224"/>
      <c r="C85" s="225"/>
      <c r="D85" s="224"/>
      <c r="E85" s="224"/>
      <c r="F85" s="224"/>
      <c r="G85" s="224"/>
      <c r="H85" s="224"/>
      <c r="M85" s="127"/>
      <c r="N85" s="127"/>
    </row>
    <row r="86" spans="2:20" s="126" customFormat="1" ht="19.899999999999999" customHeight="1" x14ac:dyDescent="0.2">
      <c r="B86" s="224"/>
      <c r="C86" s="225"/>
      <c r="D86" s="224"/>
      <c r="E86" s="224"/>
      <c r="F86" s="224"/>
      <c r="G86" s="224"/>
      <c r="H86" s="224"/>
      <c r="M86" s="127"/>
      <c r="N86" s="127"/>
    </row>
    <row r="87" spans="2:20" s="126" customFormat="1" ht="19.899999999999999" customHeight="1" x14ac:dyDescent="0.2">
      <c r="B87" s="224"/>
      <c r="C87" s="225"/>
      <c r="D87" s="224"/>
      <c r="E87" s="224"/>
      <c r="F87" s="224"/>
      <c r="G87" s="224"/>
      <c r="H87" s="224"/>
      <c r="M87" s="127"/>
      <c r="N87" s="127"/>
    </row>
    <row r="88" spans="2:20" s="126" customFormat="1" ht="45" customHeight="1" x14ac:dyDescent="0.2">
      <c r="B88" s="224"/>
      <c r="C88" s="225"/>
      <c r="D88" s="224"/>
      <c r="E88" s="224"/>
      <c r="F88" s="224"/>
      <c r="G88" s="224"/>
      <c r="H88" s="224"/>
      <c r="M88" s="127"/>
      <c r="N88" s="127"/>
    </row>
    <row r="89" spans="2:20" s="126" customFormat="1" ht="19.899999999999999" customHeight="1" x14ac:dyDescent="0.2">
      <c r="B89" s="224"/>
      <c r="C89" s="225"/>
      <c r="D89" s="224"/>
      <c r="E89" s="224"/>
      <c r="F89" s="224"/>
      <c r="G89" s="224"/>
      <c r="H89" s="224"/>
      <c r="M89" s="127"/>
      <c r="N89" s="127"/>
    </row>
    <row r="90" spans="2:20" s="126" customFormat="1" ht="19.899999999999999" customHeight="1" x14ac:dyDescent="0.2">
      <c r="B90" s="224"/>
      <c r="C90" s="225"/>
      <c r="D90" s="224"/>
      <c r="E90" s="224"/>
      <c r="F90" s="224"/>
      <c r="G90" s="224"/>
      <c r="H90" s="224"/>
      <c r="M90" s="127"/>
      <c r="N90" s="127"/>
    </row>
    <row r="91" spans="2:20" ht="18" x14ac:dyDescent="0.25">
      <c r="J91" s="173"/>
      <c r="M91" s="126"/>
      <c r="N91" s="126"/>
      <c r="O91" s="126"/>
      <c r="P91" s="126"/>
      <c r="Q91" s="126"/>
      <c r="R91" s="126"/>
      <c r="S91" s="126"/>
      <c r="T91" s="126"/>
    </row>
    <row r="92" spans="2:20" s="126" customFormat="1" ht="19.899999999999999" customHeight="1" x14ac:dyDescent="0.2">
      <c r="B92" s="224"/>
      <c r="C92" s="225"/>
      <c r="D92" s="224"/>
      <c r="E92" s="224"/>
      <c r="F92" s="224"/>
      <c r="G92" s="224"/>
      <c r="H92" s="224"/>
      <c r="M92" s="127"/>
      <c r="N92" s="127"/>
    </row>
    <row r="93" spans="2:20" s="126" customFormat="1" ht="38.25" customHeight="1" x14ac:dyDescent="0.2">
      <c r="B93" s="224"/>
      <c r="C93" s="225"/>
      <c r="D93" s="224"/>
      <c r="E93" s="224"/>
      <c r="F93" s="224"/>
      <c r="G93" s="224"/>
      <c r="H93" s="224"/>
    </row>
    <row r="104" spans="2:8" s="386" customFormat="1" x14ac:dyDescent="0.2">
      <c r="B104" s="224"/>
      <c r="C104" s="225"/>
      <c r="D104" s="224"/>
      <c r="E104" s="224"/>
      <c r="F104" s="224"/>
      <c r="G104" s="224"/>
      <c r="H104" s="224"/>
    </row>
    <row r="105" spans="2:8" s="386" customFormat="1" x14ac:dyDescent="0.2">
      <c r="B105" s="224"/>
      <c r="C105" s="225"/>
      <c r="D105" s="224"/>
      <c r="E105" s="224"/>
      <c r="F105" s="224"/>
      <c r="G105" s="224"/>
      <c r="H105" s="224"/>
    </row>
    <row r="106" spans="2:8" s="386" customFormat="1" x14ac:dyDescent="0.2">
      <c r="B106" s="224"/>
      <c r="C106" s="225"/>
      <c r="D106" s="224"/>
      <c r="E106" s="224"/>
      <c r="F106" s="224"/>
      <c r="G106" s="224"/>
      <c r="H106" s="224"/>
    </row>
    <row r="119" spans="2:11" x14ac:dyDescent="0.2">
      <c r="I119" s="54"/>
    </row>
    <row r="120" spans="2:11" s="18" customFormat="1" ht="15" x14ac:dyDescent="0.2">
      <c r="B120" s="224"/>
      <c r="C120" s="225"/>
      <c r="D120" s="224"/>
      <c r="E120" s="224"/>
      <c r="F120" s="224"/>
      <c r="G120" s="224"/>
      <c r="H120" s="224"/>
      <c r="I120" s="293"/>
      <c r="J120" s="293"/>
      <c r="K120" s="291"/>
    </row>
    <row r="129" spans="9:9" x14ac:dyDescent="0.2">
      <c r="I129" s="54"/>
    </row>
    <row r="137" spans="9:9" x14ac:dyDescent="0.2">
      <c r="I137" s="54"/>
    </row>
  </sheetData>
  <sortState xmlns:xlrd2="http://schemas.microsoft.com/office/spreadsheetml/2017/richdata2" ref="C83:F121">
    <sortCondition ref="D83:D121"/>
  </sortState>
  <mergeCells count="8">
    <mergeCell ref="B54:G54"/>
    <mergeCell ref="M16:T31"/>
    <mergeCell ref="B2:H2"/>
    <mergeCell ref="B23:H23"/>
    <mergeCell ref="B37:H37"/>
    <mergeCell ref="B30:H30"/>
    <mergeCell ref="B29:H29"/>
    <mergeCell ref="B36:H36"/>
  </mergeCells>
  <phoneticPr fontId="60" type="noConversion"/>
  <printOptions horizontalCentered="1"/>
  <pageMargins left="0.78740157480314965" right="0.51181102362204722" top="0.78740157480314965" bottom="0.78740157480314965" header="0.31496062992125984" footer="0.31496062992125984"/>
  <pageSetup paperSize="9" scale="50" fitToHeight="0" orientation="portrait" r:id="rId1"/>
  <headerFooter>
    <oddFooter>&amp;C&amp;A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11</vt:i4>
      </vt:variant>
      <vt:variant>
        <vt:lpstr>Intervalos Nomeados</vt:lpstr>
      </vt:variant>
      <vt:variant>
        <vt:i4>11</vt:i4>
      </vt:variant>
    </vt:vector>
  </HeadingPairs>
  <TitlesOfParts>
    <vt:vector size="22" baseType="lpstr">
      <vt:lpstr>CLASSIFICAÇÃO</vt:lpstr>
      <vt:lpstr>TABELAS DE REFERÊNCIA</vt:lpstr>
      <vt:lpstr>QUANT</vt:lpstr>
      <vt:lpstr>MO</vt:lpstr>
      <vt:lpstr>MAODEOBRA</vt:lpstr>
      <vt:lpstr>RESUMO</vt:lpstr>
      <vt:lpstr>FIXA - construção</vt:lpstr>
      <vt:lpstr>VINCULADA - construção</vt:lpstr>
      <vt:lpstr>VARIÁVEL - FRENTES DE SERVIÇOS</vt:lpstr>
      <vt:lpstr>VARIÁVEL - CONTROLE TECNOLÓGICO</vt:lpstr>
      <vt:lpstr>MANUTENÇÃO</vt:lpstr>
      <vt:lpstr>CLASSIFICAÇÃO!Area_de_impressao</vt:lpstr>
      <vt:lpstr>'FIXA - construção'!Area_de_impressao</vt:lpstr>
      <vt:lpstr>MANUTENÇÃO!Area_de_impressao</vt:lpstr>
      <vt:lpstr>MAODEOBRA!Area_de_impressao</vt:lpstr>
      <vt:lpstr>QUANT!Area_de_impressao</vt:lpstr>
      <vt:lpstr>RESUMO!Area_de_impressao</vt:lpstr>
      <vt:lpstr>'TABELAS DE REFERÊNCIA'!Area_de_impressao</vt:lpstr>
      <vt:lpstr>'VARIÁVEL - CONTROLE TECNOLÓGICO'!Area_de_impressao</vt:lpstr>
      <vt:lpstr>'VARIÁVEL - FRENTES DE SERVIÇOS'!Area_de_impressao</vt:lpstr>
      <vt:lpstr>'VINCULADA - construção'!Area_de_impressao</vt:lpstr>
      <vt:lpstr>NATUREZA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Beatriz E. H. Vieira</cp:lastModifiedBy>
  <cp:lastPrinted>2024-01-30T12:29:09Z</cp:lastPrinted>
  <dcterms:created xsi:type="dcterms:W3CDTF">2016-06-16T13:26:10Z</dcterms:created>
  <dcterms:modified xsi:type="dcterms:W3CDTF">2024-01-30T12:29:16Z</dcterms:modified>
</cp:coreProperties>
</file>